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239" documentId="8_{D2A7D6BD-1CFD-4140-8ABA-D623B840F16F}" xr6:coauthVersionLast="47" xr6:coauthVersionMax="47" xr10:uidLastSave="{1F031F34-DD08-43D6-A009-390B27CC945D}"/>
  <bookViews>
    <workbookView xWindow="-120" yWindow="-120" windowWidth="29040" windowHeight="15720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2" l="1"/>
  <c r="B23" i="2"/>
  <c r="B22" i="2"/>
  <c r="C24" i="2"/>
  <c r="D24" i="2"/>
  <c r="E24" i="2"/>
  <c r="C23" i="2"/>
  <c r="D23" i="2"/>
  <c r="E23" i="2"/>
  <c r="C22" i="2"/>
  <c r="D22" i="2"/>
  <c r="E22" i="2"/>
  <c r="C20" i="2"/>
  <c r="D20" i="2"/>
  <c r="E20" i="2"/>
  <c r="C19" i="2"/>
  <c r="D19" i="2"/>
  <c r="E19" i="2"/>
  <c r="C18" i="2"/>
  <c r="D18" i="2"/>
  <c r="E18" i="2"/>
  <c r="C17" i="2"/>
  <c r="D17" i="2"/>
  <c r="E17" i="2"/>
  <c r="C16" i="2"/>
  <c r="D16" i="2"/>
  <c r="E16" i="2"/>
  <c r="B18" i="2"/>
  <c r="B17" i="2"/>
  <c r="B16" i="2"/>
  <c r="B19" i="2"/>
  <c r="B20" i="2"/>
  <c r="B15" i="2"/>
  <c r="C15" i="2"/>
  <c r="D15" i="2"/>
  <c r="E15" i="2"/>
  <c r="J10" i="2"/>
  <c r="J11" i="2"/>
  <c r="J12" i="2"/>
  <c r="J9" i="2"/>
  <c r="G10" i="2"/>
  <c r="G11" i="2"/>
  <c r="G12" i="2"/>
  <c r="H10" i="2"/>
  <c r="H11" i="2"/>
  <c r="H12" i="2"/>
  <c r="G9" i="2"/>
  <c r="H9" i="2"/>
  <c r="F59" i="1"/>
  <c r="G59" i="1"/>
  <c r="H59" i="1"/>
  <c r="F67" i="1"/>
  <c r="C51" i="3" s="1"/>
  <c r="G67" i="1"/>
  <c r="D51" i="3"/>
  <c r="E51" i="3"/>
  <c r="H67" i="1"/>
  <c r="C48" i="3"/>
  <c r="D48" i="3"/>
  <c r="E48" i="3"/>
  <c r="C46" i="3"/>
  <c r="D46" i="3"/>
  <c r="E46" i="3"/>
  <c r="C45" i="3"/>
  <c r="D45" i="3"/>
  <c r="E45" i="3"/>
  <c r="C43" i="3"/>
  <c r="D43" i="3"/>
  <c r="E43" i="3"/>
  <c r="C41" i="3"/>
  <c r="D41" i="3"/>
  <c r="E41" i="3"/>
  <c r="C40" i="3"/>
  <c r="D40" i="3"/>
  <c r="E40" i="3"/>
  <c r="C30" i="3"/>
  <c r="D30" i="3"/>
  <c r="E30" i="3"/>
  <c r="F68" i="1"/>
  <c r="G68" i="1"/>
  <c r="H68" i="1"/>
  <c r="C34" i="3"/>
  <c r="D34" i="3"/>
  <c r="E34" i="3"/>
  <c r="C31" i="3"/>
  <c r="D31" i="3"/>
  <c r="E31" i="3"/>
  <c r="F46" i="1"/>
  <c r="G46" i="1"/>
  <c r="H46" i="1"/>
  <c r="H45" i="1"/>
  <c r="F45" i="1"/>
  <c r="G45" i="1"/>
  <c r="C29" i="3"/>
  <c r="D29" i="3"/>
  <c r="E29" i="3"/>
  <c r="C27" i="3"/>
  <c r="D27" i="3"/>
  <c r="E27" i="3"/>
  <c r="C26" i="3"/>
  <c r="D26" i="3"/>
  <c r="E26" i="3"/>
  <c r="C25" i="3"/>
  <c r="D25" i="3"/>
  <c r="E25" i="3"/>
  <c r="C20" i="3"/>
  <c r="D20" i="3"/>
  <c r="E20" i="3"/>
  <c r="C21" i="3"/>
  <c r="D21" i="3"/>
  <c r="E21" i="3"/>
  <c r="C18" i="3"/>
  <c r="D18" i="3"/>
  <c r="E18" i="3"/>
  <c r="C19" i="3"/>
  <c r="D19" i="3"/>
  <c r="E19" i="3"/>
  <c r="C13" i="3"/>
  <c r="D13" i="3"/>
  <c r="E13" i="3"/>
  <c r="C14" i="3"/>
  <c r="D14" i="3"/>
  <c r="E14" i="3"/>
  <c r="C11" i="3"/>
  <c r="D11" i="3"/>
  <c r="E11" i="3"/>
  <c r="F102" i="1"/>
  <c r="G102" i="1"/>
  <c r="H102" i="1"/>
  <c r="C36" i="3"/>
  <c r="D35" i="3"/>
  <c r="E35" i="3"/>
  <c r="F105" i="1"/>
  <c r="G105" i="1"/>
  <c r="H105" i="1"/>
  <c r="E28" i="3"/>
  <c r="H56" i="1"/>
  <c r="I11" i="3"/>
  <c r="F12" i="1"/>
  <c r="F51" i="1"/>
  <c r="G51" i="1"/>
  <c r="H51" i="1"/>
  <c r="I6" i="3"/>
  <c r="F38" i="1"/>
  <c r="I8" i="3" s="1"/>
  <c r="G38" i="1"/>
  <c r="J8" i="3" s="1"/>
  <c r="H38" i="1"/>
  <c r="K8" i="3" s="1"/>
  <c r="F39" i="1"/>
  <c r="G39" i="1"/>
  <c r="J6" i="3" s="1"/>
  <c r="H39" i="1"/>
  <c r="K6" i="3" s="1"/>
  <c r="C10" i="3"/>
  <c r="F17" i="1"/>
  <c r="F4" i="1"/>
  <c r="G4" i="1"/>
  <c r="H4" i="1"/>
  <c r="G9" i="3"/>
  <c r="G10" i="3" s="1"/>
  <c r="G11" i="3" s="1"/>
  <c r="D7" i="3"/>
  <c r="E7" i="3"/>
  <c r="C6" i="3"/>
  <c r="F37" i="1"/>
  <c r="C8" i="3" s="1"/>
  <c r="G37" i="1"/>
  <c r="H37" i="1"/>
  <c r="G33" i="1"/>
  <c r="H33" i="1"/>
  <c r="D108" i="1"/>
  <c r="C108" i="1"/>
  <c r="B108" i="1"/>
  <c r="D99" i="1"/>
  <c r="C99" i="1"/>
  <c r="B99" i="1"/>
  <c r="D68" i="1"/>
  <c r="C68" i="1"/>
  <c r="B68" i="1"/>
  <c r="D61" i="1"/>
  <c r="C61" i="1"/>
  <c r="B61" i="1"/>
  <c r="D56" i="1"/>
  <c r="C56" i="1"/>
  <c r="F56" i="1" s="1"/>
  <c r="B56" i="1"/>
  <c r="B62" i="1" s="1"/>
  <c r="D47" i="1"/>
  <c r="C47" i="1"/>
  <c r="B47" i="1"/>
  <c r="B48" i="1" s="1"/>
  <c r="D42" i="1"/>
  <c r="D48" i="1" s="1"/>
  <c r="C42" i="1"/>
  <c r="F42" i="1" s="1"/>
  <c r="B42" i="1"/>
  <c r="C5" i="3" s="1"/>
  <c r="D17" i="1"/>
  <c r="C17" i="1"/>
  <c r="D28" i="3" s="1"/>
  <c r="B17" i="1"/>
  <c r="C28" i="3" s="1"/>
  <c r="D13" i="1"/>
  <c r="D18" i="1" s="1"/>
  <c r="D12" i="1"/>
  <c r="E17" i="3" s="1"/>
  <c r="C12" i="1"/>
  <c r="D9" i="3" s="1"/>
  <c r="B12" i="1"/>
  <c r="C9" i="3" s="1"/>
  <c r="D8" i="1"/>
  <c r="C8" i="1"/>
  <c r="D17" i="3" s="1"/>
  <c r="B8" i="1"/>
  <c r="C17" i="3" s="1"/>
  <c r="B13" i="1"/>
  <c r="B18" i="1" s="1"/>
  <c r="E3" i="3"/>
  <c r="K3" i="3" s="1"/>
  <c r="D3" i="3"/>
  <c r="J3" i="3" s="1"/>
  <c r="C3" i="3"/>
  <c r="I3" i="3" s="1"/>
  <c r="D33" i="1"/>
  <c r="D73" i="1"/>
  <c r="H73" i="1" s="1"/>
  <c r="C33" i="1"/>
  <c r="C73" i="1"/>
  <c r="G73" i="1" s="1"/>
  <c r="B33" i="1"/>
  <c r="F33" i="1" s="1"/>
  <c r="A47" i="3"/>
  <c r="A49" i="3"/>
  <c r="A16" i="3"/>
  <c r="A24" i="3" s="1"/>
  <c r="A17" i="3"/>
  <c r="A18" i="3"/>
  <c r="A20" i="3" s="1"/>
  <c r="A22" i="3" s="1"/>
  <c r="A5" i="3"/>
  <c r="A6" i="3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B20" i="1"/>
  <c r="B22" i="1" s="1"/>
  <c r="D20" i="1"/>
  <c r="D22" i="1" s="1"/>
  <c r="C12" i="3"/>
  <c r="I13" i="3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H65" i="1"/>
  <c r="F62" i="1"/>
  <c r="F65" i="1"/>
  <c r="C44" i="3"/>
  <c r="B69" i="1"/>
  <c r="D62" i="1"/>
  <c r="H62" i="1" s="1"/>
  <c r="C13" i="1"/>
  <c r="C18" i="1" s="1"/>
  <c r="C62" i="1"/>
  <c r="D10" i="3"/>
  <c r="G12" i="1"/>
  <c r="J11" i="3" s="1"/>
  <c r="D12" i="3" s="1"/>
  <c r="C48" i="1"/>
  <c r="C35" i="3"/>
  <c r="E6" i="3"/>
  <c r="H17" i="1"/>
  <c r="E8" i="3" s="1"/>
  <c r="E36" i="3"/>
  <c r="E10" i="3"/>
  <c r="H12" i="1"/>
  <c r="K11" i="3" s="1"/>
  <c r="E12" i="3" s="1"/>
  <c r="D6" i="3"/>
  <c r="G17" i="1"/>
  <c r="D8" i="3" s="1"/>
  <c r="D36" i="3"/>
  <c r="E5" i="3"/>
  <c r="H42" i="1"/>
  <c r="K13" i="3" s="1"/>
  <c r="D5" i="3"/>
  <c r="G42" i="1"/>
  <c r="B73" i="1"/>
  <c r="F73" i="1" s="1"/>
  <c r="C7" i="3"/>
  <c r="E9" i="3"/>
  <c r="G56" i="1"/>
  <c r="C69" i="1" l="1"/>
  <c r="D69" i="1"/>
  <c r="D76" i="1"/>
  <c r="D91" i="1" s="1"/>
  <c r="D109" i="1" s="1"/>
  <c r="H22" i="1"/>
  <c r="E47" i="3"/>
  <c r="E37" i="3"/>
  <c r="E22" i="3"/>
  <c r="E49" i="3"/>
  <c r="C20" i="1"/>
  <c r="C22" i="1" s="1"/>
  <c r="E42" i="3"/>
  <c r="J13" i="3"/>
  <c r="F22" i="1"/>
  <c r="C50" i="3" s="1"/>
  <c r="C47" i="3"/>
  <c r="C37" i="3"/>
  <c r="C22" i="3"/>
  <c r="B76" i="1"/>
  <c r="B91" i="1" s="1"/>
  <c r="B109" i="1" s="1"/>
  <c r="C49" i="3"/>
  <c r="G62" i="1"/>
  <c r="G65" i="1"/>
  <c r="E44" i="3"/>
  <c r="C42" i="3"/>
  <c r="D42" i="3" l="1"/>
  <c r="D50" i="3"/>
  <c r="C76" i="1"/>
  <c r="C91" i="1" s="1"/>
  <c r="C109" i="1" s="1"/>
  <c r="G22" i="1"/>
  <c r="D47" i="3"/>
  <c r="D37" i="3"/>
  <c r="D22" i="3"/>
  <c r="D49" i="3"/>
  <c r="D44" i="3"/>
  <c r="E50" i="3"/>
</calcChain>
</file>

<file path=xl/sharedStrings.xml><?xml version="1.0" encoding="utf-8"?>
<sst xmlns="http://schemas.openxmlformats.org/spreadsheetml/2006/main" count="233" uniqueCount="205">
  <si>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</si>
  <si>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</si>
  <si>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</si>
  <si>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</si>
  <si>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</si>
  <si>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</si>
  <si>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</si>
  <si>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</si>
  <si>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</si>
  <si>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</si>
  <si>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</si>
  <si>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</si>
  <si>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</si>
  <si>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</si>
  <si>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</si>
  <si>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</si>
  <si>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</si>
  <si>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</si>
  <si>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</si>
  <si>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</si>
  <si>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</si>
  <si>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</si>
  <si>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</si>
  <si>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</si>
  <si>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</si>
  <si>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</si>
  <si>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</si>
  <si>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</si>
  <si>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</si>
  <si>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</si>
  <si>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</si>
  <si>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</si>
  <si>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</si>
  <si>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</si>
  <si>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</si>
  <si>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</si>
  <si>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</si>
  <si>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</si>
  <si>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</si>
  <si>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</si>
  <si>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</si>
  <si>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</si>
  <si>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</si>
  <si>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</si>
  <si>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</si>
  <si>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</si>
  <si>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</si>
  <si>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</si>
  <si>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</si>
  <si>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</si>
  <si>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</si>
  <si>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</si>
  <si>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</si>
  <si>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</si>
  <si>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</si>
  <si>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</si>
  <si>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</si>
  <si>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</si>
  <si>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</si>
  <si>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</si>
  <si>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</si>
  <si>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</si>
  <si>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</si>
  <si>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</si>
  <si>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</si>
  <si>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</si>
  <si>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</si>
  <si>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</si>
  <si>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</si>
  <si>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</si>
  <si>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</si>
  <si>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</si>
  <si>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</si>
  <si>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</si>
  <si>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</si>
  <si>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</si>
  <si>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</si>
  <si>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</si>
  <si>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</si>
  <si>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</si>
  <si>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</si>
  <si>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</si>
  <si>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</si>
  <si>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</si>
  <si>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</si>
  <si>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</si>
  <si>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</si>
  <si>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</si>
  <si>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</si>
  <si>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</si>
  <si>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</si>
  <si>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</si>
  <si>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</si>
  <si>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</si>
  <si>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</si>
  <si>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</si>
  <si>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</si>
  <si>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</si>
  <si>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</si>
  <si>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</si>
  <si>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</si>
  <si>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</si>
  <si>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</si>
  <si>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</si>
  <si>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</si>
  <si>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</si>
  <si>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</si>
  <si>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</si>
  <si>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</si>
  <si>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</si>
  <si>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</si>
  <si>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</si>
  <si>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</si>
  <si>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</si>
  <si>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</si>
  <si>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</si>
  <si>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</si>
  <si>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</si>
  <si>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</si>
  <si>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</si>
  <si>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</si>
  <si>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</si>
  <si>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</si>
  <si>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</si>
  <si>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</si>
  <si>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</si>
  <si>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</si>
  <si>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</si>
  <si>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</si>
  <si>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</si>
  <si>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</si>
  <si>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</si>
  <si>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</si>
  <si>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</si>
  <si>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</si>
  <si>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</si>
  <si>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</si>
  <si>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</si>
  <si>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</si>
  <si>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</si>
  <si>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</si>
  <si>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</si>
  <si>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</si>
  <si>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</si>
  <si>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</si>
  <si>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</si>
  <si>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</si>
  <si>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</si>
  <si>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</si>
  <si>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</si>
  <si>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Sum cash/ cash equivalents + MS + NAR</t>
  </si>
  <si>
    <t>Days</t>
  </si>
  <si>
    <t>CCC:</t>
  </si>
  <si>
    <t>DIO</t>
  </si>
  <si>
    <t>Average invesntory</t>
  </si>
  <si>
    <t>Average accounts recievable</t>
  </si>
  <si>
    <t>DSO</t>
  </si>
  <si>
    <t>DPO</t>
  </si>
  <si>
    <t>Avg. Accounts payable</t>
  </si>
  <si>
    <t>COGS/Per day</t>
  </si>
  <si>
    <t>Average WC</t>
  </si>
  <si>
    <t>Avg current assets</t>
  </si>
  <si>
    <t>Avg. Current liab.</t>
  </si>
  <si>
    <t>Total debt service</t>
  </si>
  <si>
    <t>FCF</t>
  </si>
  <si>
    <t>Share holder Equity</t>
  </si>
  <si>
    <t>No. of outstanding shares</t>
  </si>
  <si>
    <t>Book value per share</t>
  </si>
  <si>
    <t>Market price er share taken from end of year trading prices</t>
  </si>
  <si>
    <t>Market cap</t>
  </si>
  <si>
    <t>Current Assets / Daily Operational Expenses where Daily Operational Expenses = (Annual Operating Expenses - Noncash Charges) / 365</t>
  </si>
  <si>
    <t>Denominator should be revenue</t>
  </si>
  <si>
    <t>WC/Sales revenue</t>
  </si>
  <si>
    <t>Inventory + Receivables  - payables or Current assets - current liabilities</t>
  </si>
  <si>
    <t>EBITDA/Revenue</t>
  </si>
  <si>
    <t>EBIT/Revenue</t>
  </si>
  <si>
    <t>Include only term debt instead of total liabilities, since differed revenue is not an actual form of capital</t>
  </si>
  <si>
    <t>EBIT / (Interest + Debt repayment) debt repayment can be found in cash flow</t>
  </si>
  <si>
    <t>Cash from operations + Capex + Proceeds from issuance of term debt</t>
  </si>
  <si>
    <t>FECFE/Diluted no. of shares. Note that the share count is in absolute number and income statement is in millions, therefore divide the shares by 1000</t>
  </si>
  <si>
    <t>Numerator should be Total revenue</t>
  </si>
  <si>
    <t>Link diluted EPS instead of basic for the denominator</t>
  </si>
  <si>
    <t>Link diluted EPS here</t>
  </si>
  <si>
    <t>Total shareholder equity in balance sheet/ Diluted number of Shares (note that the share count is in absolute number and income statement is in millions, therefore divide the shares by 1000)</t>
  </si>
  <si>
    <t>Dividend Paid in cash flow / Diluted number of Shares (note that the share count is in absolute number and income statement is in millions, therefore divide the shares by 1000)</t>
  </si>
  <si>
    <t>Dividend Per Share / Share Price</t>
  </si>
  <si>
    <t>EBIT / Capital Employed where Capital employed = Total shareholder equity + Term debt (under non-current liability)</t>
  </si>
  <si>
    <t>Market Cap + Total Debt - (Cash + Cash Equivalents), where Market Cap= Share price*Diluted number of shares/1000</t>
  </si>
  <si>
    <t>Please calculate the  additional rations mentioned in rows 8 to 24 in Instructions sheet</t>
  </si>
  <si>
    <t>Feedback</t>
  </si>
  <si>
    <t>Debt repayment</t>
  </si>
  <si>
    <t>Change in PP&amp;E</t>
  </si>
  <si>
    <t>Capex</t>
  </si>
  <si>
    <t>Diluted no. of shares</t>
  </si>
  <si>
    <t>Capital employed</t>
  </si>
  <si>
    <t>Sales</t>
  </si>
  <si>
    <t>Gross sales</t>
  </si>
  <si>
    <t>Research and development (Expense)</t>
  </si>
  <si>
    <t>Selling, general and administrative (Expense)</t>
  </si>
  <si>
    <t>Growth rates</t>
  </si>
  <si>
    <t>Average annual Growth rate</t>
  </si>
  <si>
    <t>Margins % of Net sales</t>
  </si>
  <si>
    <t>Where do I find the non cash charges?</t>
  </si>
  <si>
    <r>
      <t>Inventory Days + Receivable days - payable days.</t>
    </r>
    <r>
      <rPr>
        <sz val="11"/>
        <color rgb="FFFF0000"/>
        <rFont val="Calibri"/>
        <family val="2"/>
        <scheme val="minor"/>
      </rPr>
      <t xml:space="preserve"> Is my calculations in cells I,J and K incorrect for Inventory days etc.</t>
    </r>
  </si>
  <si>
    <t>Ive made these calculations in the "Info" section of the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</si>
</sst>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([$$-409]* #,##0.00_);_([$$-409]* \(#,##0.00\);_([$$-409]* &quot;-&quot;??_);_(@_)"/>
    <numFmt numFmtId="171" formatCode="0.0000000000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6" fontId="0" fillId="0" borderId="0" xfId="1" applyNumberFormat="1" applyFont="1"/>
    <xf numFmtId="166" fontId="2" fillId="0" borderId="1" xfId="1" applyNumberFormat="1" applyFont="1" applyBorder="1"/>
    <xf numFmtId="166" fontId="2" fillId="0" borderId="2" xfId="1" applyNumberFormat="1" applyFont="1" applyBorder="1"/>
    <xf numFmtId="166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7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0" fillId="0" borderId="0" xfId="1" applyFont="1"/>
    <xf numFmtId="10" fontId="0" fillId="0" borderId="0" xfId="4" applyNumberFormat="1" applyFont="1"/>
    <xf numFmtId="168" fontId="0" fillId="0" borderId="0" xfId="3" applyNumberFormat="1" applyFont="1"/>
    <xf numFmtId="165" fontId="0" fillId="0" borderId="0" xfId="0" applyNumberFormat="1"/>
    <xf numFmtId="1" fontId="8" fillId="0" borderId="0" xfId="0" applyNumberFormat="1" applyFont="1"/>
    <xf numFmtId="0" fontId="8" fillId="0" borderId="0" xfId="0" applyFont="1"/>
    <xf numFmtId="9" fontId="0" fillId="0" borderId="0" xfId="4" applyFont="1"/>
    <xf numFmtId="10" fontId="8" fillId="0" borderId="0" xfId="4" applyNumberFormat="1" applyFont="1"/>
    <xf numFmtId="2" fontId="8" fillId="0" borderId="0" xfId="0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6" fontId="1" fillId="0" borderId="1" xfId="1" applyNumberFormat="1" applyFont="1" applyBorder="1"/>
    <xf numFmtId="0" fontId="0" fillId="0" borderId="0" xfId="0" applyAlignment="1">
      <alignment vertical="top"/>
    </xf>
    <xf numFmtId="0" fontId="2" fillId="0" borderId="4" xfId="0" applyFont="1" applyBorder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9" fontId="0" fillId="0" borderId="0" xfId="0" applyNumberFormat="1"/>
    <xf numFmtId="171" fontId="0" fillId="0" borderId="0" xfId="0" applyNumberFormat="1"/>
    <xf numFmtId="0" fontId="0" fillId="0" borderId="4" xfId="0" applyBorder="1" applyAlignment="1">
      <alignment horizontal="center"/>
    </xf>
    <xf numFmtId="9" fontId="0" fillId="0" borderId="4" xfId="4" applyFont="1" applyBorder="1"/>
    <xf numFmtId="1" fontId="9" fillId="0" borderId="0" xfId="0" applyNumberFormat="1" applyFont="1"/>
    <xf numFmtId="0" fontId="9" fillId="0" borderId="0" xfId="0" applyFont="1"/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27" sqref="D27"/>
    </sheetView>
  </sheetViews>
  <sheetFormatPr defaultColWidth="8.7109375" defaultRowHeight="15" x14ac:dyDescent="0.25"/>
  <cols>
    <col min="1" max="1" width="104.42578125" customWidth="1"/>
    <col min="2" max="2" width="41.140625" customWidth="1"/>
    <col min="3" max="5" width="11.5703125" bestFit="1" customWidth="1"/>
    <col min="7" max="7" width="13" customWidth="1"/>
    <col min="10" max="10" width="26.42578125" customWidth="1"/>
    <col min="11" max="11" width="19.42578125" bestFit="1" customWidth="1"/>
  </cols>
  <sheetData>
    <row r="1" spans="1:11" ht="23.25" x14ac:dyDescent="0.35">
      <c r="A1" s="5" t="s">
        <v>87</v>
      </c>
    </row>
    <row r="3" spans="1:11" x14ac:dyDescent="0.25">
      <c r="A3" s="7" t="s">
        <v>141</v>
      </c>
    </row>
    <row r="4" spans="1:11" x14ac:dyDescent="0.25">
      <c r="A4" s="16" t="s">
        <v>88</v>
      </c>
    </row>
    <row r="5" spans="1:11" x14ac:dyDescent="0.25">
      <c r="A5" s="7" t="s">
        <v>97</v>
      </c>
    </row>
    <row r="6" spans="1:11" x14ac:dyDescent="0.25">
      <c r="A6" s="1" t="s">
        <v>148</v>
      </c>
    </row>
    <row r="7" spans="1:11" x14ac:dyDescent="0.25">
      <c r="A7" s="1"/>
      <c r="G7" s="41" t="s">
        <v>199</v>
      </c>
      <c r="H7" s="41"/>
    </row>
    <row r="8" spans="1:11" x14ac:dyDescent="0.25">
      <c r="A8" s="17" t="s">
        <v>149</v>
      </c>
      <c r="C8" s="23">
        <v>2022</v>
      </c>
      <c r="D8" s="23">
        <v>2021</v>
      </c>
      <c r="E8" s="23">
        <v>2020</v>
      </c>
      <c r="G8" s="42">
        <v>2022</v>
      </c>
      <c r="H8" s="42">
        <v>2021</v>
      </c>
      <c r="J8" s="40" t="s">
        <v>200</v>
      </c>
    </row>
    <row r="9" spans="1:11" x14ac:dyDescent="0.25">
      <c r="A9" s="1" t="s">
        <v>145</v>
      </c>
      <c r="B9" t="s">
        <v>195</v>
      </c>
      <c r="C9" s="38">
        <v>394328</v>
      </c>
      <c r="D9" s="38">
        <v>365817</v>
      </c>
      <c r="E9" s="38">
        <v>274515</v>
      </c>
      <c r="G9" s="33">
        <f>(C9-D9)/D9</f>
        <v>7.7937876041846058E-2</v>
      </c>
      <c r="H9" s="33">
        <f>(D9-E9)/E9</f>
        <v>0.33259384733074693</v>
      </c>
      <c r="J9" s="43">
        <f>AVERAGE(H9,G9)</f>
        <v>0.20526586168629649</v>
      </c>
      <c r="K9" s="44"/>
    </row>
    <row r="10" spans="1:11" x14ac:dyDescent="0.25">
      <c r="A10" s="1" t="s">
        <v>89</v>
      </c>
      <c r="B10" t="s">
        <v>196</v>
      </c>
      <c r="C10" s="12">
        <v>170782</v>
      </c>
      <c r="D10" s="12">
        <v>152836</v>
      </c>
      <c r="E10" s="12">
        <v>104956</v>
      </c>
      <c r="G10" s="33">
        <f t="shared" ref="G10:G12" si="0">(C10-D10)/D10</f>
        <v>0.11741997958596143</v>
      </c>
      <c r="H10" s="33">
        <f t="shared" ref="H10:H12" si="1">(D10-E10)/E10</f>
        <v>0.45619116582186819</v>
      </c>
      <c r="J10" s="43">
        <f t="shared" ref="J10:J12" si="2">AVERAGE(H10,G10)</f>
        <v>0.28680557270391482</v>
      </c>
    </row>
    <row r="11" spans="1:11" x14ac:dyDescent="0.25">
      <c r="A11" s="1" t="s">
        <v>90</v>
      </c>
      <c r="B11" s="39" t="s">
        <v>197</v>
      </c>
      <c r="C11" s="12">
        <v>26251</v>
      </c>
      <c r="D11" s="12">
        <v>21914</v>
      </c>
      <c r="E11" s="12">
        <v>18752</v>
      </c>
      <c r="G11" s="33">
        <f t="shared" si="0"/>
        <v>0.19791001186456147</v>
      </c>
      <c r="H11" s="33">
        <f t="shared" si="1"/>
        <v>0.16862201365187712</v>
      </c>
      <c r="J11" s="43">
        <f t="shared" si="2"/>
        <v>0.1832660127582193</v>
      </c>
    </row>
    <row r="12" spans="1:11" x14ac:dyDescent="0.25">
      <c r="A12" s="1" t="s">
        <v>91</v>
      </c>
      <c r="B12" s="39" t="s">
        <v>198</v>
      </c>
      <c r="C12" s="12">
        <v>25094</v>
      </c>
      <c r="D12" s="12">
        <v>21973</v>
      </c>
      <c r="E12" s="12">
        <v>19916</v>
      </c>
      <c r="G12" s="33">
        <f t="shared" si="0"/>
        <v>0.14203795567287125</v>
      </c>
      <c r="H12" s="33">
        <f t="shared" si="1"/>
        <v>0.10328379192608958</v>
      </c>
      <c r="J12" s="43">
        <f t="shared" si="2"/>
        <v>0.12266087379948042</v>
      </c>
    </row>
    <row r="13" spans="1:11" x14ac:dyDescent="0.25">
      <c r="A13" s="1"/>
    </row>
    <row r="14" spans="1:11" x14ac:dyDescent="0.25">
      <c r="A14" s="17" t="s">
        <v>92</v>
      </c>
      <c r="C14" s="45" t="s">
        <v>201</v>
      </c>
      <c r="D14" s="45"/>
      <c r="E14" s="45"/>
    </row>
    <row r="15" spans="1:11" x14ac:dyDescent="0.25">
      <c r="A15" s="1" t="s">
        <v>146</v>
      </c>
      <c r="B15" t="str">
        <f>A15</f>
        <v>COGS (Cost of goods sold)</v>
      </c>
      <c r="C15" s="33">
        <f>'Financial Statements'!B12/'Financial Statements'!B8</f>
        <v>0.56690369438639909</v>
      </c>
      <c r="D15" s="33">
        <f>'Financial Statements'!C12/'Financial Statements'!C8</f>
        <v>0.58220640374832222</v>
      </c>
      <c r="E15" s="33">
        <f>'Financial Statements'!D12/'Financial Statements'!D8</f>
        <v>0.61766752272189129</v>
      </c>
    </row>
    <row r="16" spans="1:11" x14ac:dyDescent="0.25">
      <c r="A16" s="1" t="s">
        <v>89</v>
      </c>
      <c r="B16" t="str">
        <f t="shared" ref="B16:B19" si="3">A16</f>
        <v>Gross profits</v>
      </c>
      <c r="C16" s="33">
        <f>'Financial Statements'!B13/'Financial Statements'!B8</f>
        <v>0.43309630561360085</v>
      </c>
      <c r="D16" s="33">
        <f>'Financial Statements'!C13/'Financial Statements'!C8</f>
        <v>0.41779359625167778</v>
      </c>
      <c r="E16" s="33">
        <f>'Financial Statements'!D13/'Financial Statements'!D8</f>
        <v>0.38233247727810865</v>
      </c>
    </row>
    <row r="17" spans="1:5" x14ac:dyDescent="0.25">
      <c r="A17" s="1" t="s">
        <v>90</v>
      </c>
      <c r="B17" t="str">
        <f>B11</f>
        <v>Research and development (Expense)</v>
      </c>
      <c r="C17" s="33">
        <f t="shared" ref="C17:D17" si="4">C11/C9</f>
        <v>6.657148363798665E-2</v>
      </c>
      <c r="D17" s="33">
        <f t="shared" si="4"/>
        <v>5.9904269074427925E-2</v>
      </c>
      <c r="E17" s="33">
        <f>E11/E9</f>
        <v>6.8309564140393061E-2</v>
      </c>
    </row>
    <row r="18" spans="1:5" x14ac:dyDescent="0.25">
      <c r="A18" s="1" t="s">
        <v>14</v>
      </c>
      <c r="B18" t="str">
        <f>B12</f>
        <v>Selling, general and administrative (Expense)</v>
      </c>
      <c r="C18" s="33">
        <f t="shared" ref="C18:D18" si="5">C12/C9</f>
        <v>6.3637378020328261E-2</v>
      </c>
      <c r="D18" s="33">
        <f t="shared" si="5"/>
        <v>6.006555190163388E-2</v>
      </c>
      <c r="E18" s="33">
        <f>E12/E9</f>
        <v>7.2549769593646979E-2</v>
      </c>
    </row>
    <row r="19" spans="1:5" x14ac:dyDescent="0.25">
      <c r="A19" s="1" t="s">
        <v>93</v>
      </c>
      <c r="B19" t="str">
        <f>A18</f>
        <v>Operating income</v>
      </c>
      <c r="C19" s="33">
        <f>'Financial Statements'!B18/'Financial Statements'!B8</f>
        <v>0.30288744395528594</v>
      </c>
      <c r="D19" s="33">
        <f>'Financial Statements'!C18/'Financial Statements'!C8</f>
        <v>0.29782377527561593</v>
      </c>
      <c r="E19" s="33">
        <f>'Financial Statements'!D18/'Financial Statements'!D8</f>
        <v>0.24147314354406862</v>
      </c>
    </row>
    <row r="20" spans="1:5" x14ac:dyDescent="0.25">
      <c r="A20" s="1"/>
      <c r="B20" t="str">
        <f>A19</f>
        <v>Net profit</v>
      </c>
      <c r="C20" s="46">
        <f>'Financial Statements'!B22/'Financial Statements'!B8</f>
        <v>0.25309640705199732</v>
      </c>
      <c r="D20" s="46">
        <f>'Financial Statements'!C22/'Financial Statements'!C8</f>
        <v>0.25881793355694238</v>
      </c>
      <c r="E20" s="46">
        <f>'Financial Statements'!D22/'Financial Statements'!D8</f>
        <v>0.20913611278072236</v>
      </c>
    </row>
    <row r="21" spans="1:5" x14ac:dyDescent="0.25">
      <c r="A21" s="17" t="s">
        <v>98</v>
      </c>
    </row>
    <row r="22" spans="1:5" x14ac:dyDescent="0.25">
      <c r="A22" s="1" t="s">
        <v>94</v>
      </c>
      <c r="B22" t="str">
        <f>A22</f>
        <v>Income tax rate</v>
      </c>
      <c r="C22" s="33">
        <f>'Financial Statements'!B21/'Financial Statements'!B20</f>
        <v>0.16204461684424407</v>
      </c>
      <c r="D22" s="33">
        <f>'Financial Statements'!C21/'Financial Statements'!C20</f>
        <v>0.13302260844085087</v>
      </c>
      <c r="E22" s="33">
        <f>'Financial Statements'!D21/'Financial Statements'!D20</f>
        <v>0.14428164731484103</v>
      </c>
    </row>
    <row r="23" spans="1:5" x14ac:dyDescent="0.25">
      <c r="A23" s="1" t="s">
        <v>95</v>
      </c>
      <c r="B23" t="str">
        <f>A23</f>
        <v>Capex as a percentage of sales</v>
      </c>
      <c r="C23" s="33">
        <f>'Financial Statements'!F46/'Financial Statements'!B8</f>
        <v>3.4948063541011543E-2</v>
      </c>
      <c r="D23" s="33">
        <f>'Financial Statements'!G46/'Financial Statements'!C8</f>
        <v>3.8155689866791319E-2</v>
      </c>
      <c r="E23" s="33">
        <f>'Financial Statements'!H46/'Financial Statements'!D8</f>
        <v>3.8045279857202706E-2</v>
      </c>
    </row>
    <row r="24" spans="1:5" x14ac:dyDescent="0.25">
      <c r="A24" s="1" t="s">
        <v>96</v>
      </c>
      <c r="B24" t="str">
        <f>A24</f>
        <v>Capex as a percentage of fixed assets</v>
      </c>
      <c r="C24" s="33">
        <f>'Financial Statements'!F46/'Financial Statements'!B47</f>
        <v>6.3404646882907756E-2</v>
      </c>
      <c r="D24" s="33">
        <f>'Financial Statements'!G46/'Financial Statements'!C47</f>
        <v>6.4570746555887598E-2</v>
      </c>
      <c r="E24" s="33">
        <f>'Financial Statements'!H46/'Financial Statements'!D47</f>
        <v>5.7965866518662409E-2</v>
      </c>
    </row>
    <row r="25" spans="1:5" x14ac:dyDescent="0.25">
      <c r="A25" s="1"/>
    </row>
    <row r="26" spans="1:5" x14ac:dyDescent="0.25">
      <c r="A26" s="17" t="s">
        <v>144</v>
      </c>
    </row>
    <row r="27" spans="1:5" x14ac:dyDescent="0.25">
      <c r="A27" s="16" t="s">
        <v>143</v>
      </c>
    </row>
    <row r="29" spans="1:5" x14ac:dyDescent="0.25">
      <c r="A29" s="7" t="s">
        <v>147</v>
      </c>
    </row>
  </sheetData>
  <mergeCells count="2">
    <mergeCell ref="G7:H7"/>
    <mergeCell ref="C14:E14"/>
  </mergeCells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60" workbookViewId="0">
      <selection activeCell="H38" sqref="H38"/>
    </sheetView>
  </sheetViews>
  <sheetFormatPr defaultColWidth="8.7109375" defaultRowHeight="15" x14ac:dyDescent="0.25"/>
  <cols>
    <col min="1" max="1" width="59" customWidth="1"/>
    <col min="2" max="3" width="11.42578125" bestFit="1" customWidth="1"/>
    <col min="4" max="4" width="11.7109375" bestFit="1" customWidth="1"/>
    <col min="5" max="5" width="20.140625" bestFit="1" customWidth="1"/>
    <col min="6" max="6" width="13.28515625" bestFit="1" customWidth="1"/>
    <col min="7" max="7" width="14.28515625" bestFit="1" customWidth="1"/>
    <col min="8" max="8" width="13.2851562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7" t="s">
        <v>1</v>
      </c>
      <c r="B2" s="37"/>
      <c r="C2" s="37"/>
      <c r="D2" s="37"/>
    </row>
    <row r="3" spans="1:10" x14ac:dyDescent="0.25">
      <c r="B3" s="36" t="s">
        <v>23</v>
      </c>
      <c r="C3" s="36"/>
      <c r="D3" s="36"/>
    </row>
    <row r="4" spans="1:10" x14ac:dyDescent="0.25">
      <c r="B4" s="7">
        <v>2022</v>
      </c>
      <c r="C4" s="7">
        <v>2021</v>
      </c>
      <c r="D4" s="7">
        <v>2020</v>
      </c>
      <c r="F4" s="7">
        <f>B4</f>
        <v>2022</v>
      </c>
      <c r="G4" s="7">
        <f>C4</f>
        <v>2021</v>
      </c>
      <c r="H4" s="7">
        <f>D4</f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F12" s="26">
        <f t="shared" ref="F12:G12" si="2">B12/365</f>
        <v>612.45479452054792</v>
      </c>
      <c r="G12" s="26">
        <f t="shared" si="2"/>
        <v>583.50958904109586</v>
      </c>
      <c r="H12" s="26">
        <f>D12/365</f>
        <v>464.54520547945208</v>
      </c>
      <c r="I12" t="s">
        <v>159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3">+C8-C12</f>
        <v>152836</v>
      </c>
      <c r="D13" s="13">
        <f t="shared" si="3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9" x14ac:dyDescent="0.25">
      <c r="A17" s="8" t="s">
        <v>13</v>
      </c>
      <c r="B17" s="13">
        <f>+B15+B16</f>
        <v>51345</v>
      </c>
      <c r="C17" s="13">
        <f t="shared" ref="C17" si="4">+C15+C16</f>
        <v>43887</v>
      </c>
      <c r="D17" s="13">
        <f t="shared" ref="D17" si="5">+D15+D16</f>
        <v>38668</v>
      </c>
      <c r="F17" s="26">
        <f t="shared" ref="F17:G17" si="6">B17/365</f>
        <v>140.67123287671234</v>
      </c>
      <c r="G17" s="26">
        <f t="shared" si="6"/>
        <v>120.23835616438356</v>
      </c>
      <c r="H17" s="26">
        <f>D17/365</f>
        <v>105.93972602739726</v>
      </c>
    </row>
    <row r="18" spans="1:9" s="7" customFormat="1" x14ac:dyDescent="0.25">
      <c r="A18" s="8" t="s">
        <v>14</v>
      </c>
      <c r="B18" s="13">
        <f>+B13-B17</f>
        <v>119437</v>
      </c>
      <c r="C18" s="13">
        <f t="shared" ref="C18:D18" si="7">+C13-C17</f>
        <v>108949</v>
      </c>
      <c r="D18" s="13">
        <f t="shared" si="7"/>
        <v>66288</v>
      </c>
    </row>
    <row r="19" spans="1:9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9" x14ac:dyDescent="0.25">
      <c r="A20" s="8" t="s">
        <v>16</v>
      </c>
      <c r="B20" s="13">
        <f>+B18+B19</f>
        <v>119103</v>
      </c>
      <c r="C20" s="13">
        <f t="shared" ref="C20:D20" si="8">+C18+C19</f>
        <v>109207</v>
      </c>
      <c r="D20" s="13">
        <f t="shared" si="8"/>
        <v>67091</v>
      </c>
    </row>
    <row r="21" spans="1:9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9" ht="15.75" thickBot="1" x14ac:dyDescent="0.3">
      <c r="A22" s="9" t="s">
        <v>18</v>
      </c>
      <c r="B22" s="14">
        <f>+B20-B21</f>
        <v>99803</v>
      </c>
      <c r="C22" s="14">
        <f t="shared" ref="C22:D22" si="9">+C20-C21</f>
        <v>94680</v>
      </c>
      <c r="D22" s="14">
        <f t="shared" si="9"/>
        <v>57411</v>
      </c>
      <c r="F22" s="25">
        <f t="shared" ref="F22:G22" si="10">B22+B114+B113+B79</f>
        <v>133345</v>
      </c>
      <c r="G22" s="25">
        <f t="shared" si="10"/>
        <v>134036</v>
      </c>
      <c r="H22" s="25">
        <f>D22+D114+D113+D79</f>
        <v>80970</v>
      </c>
      <c r="I22" t="s">
        <v>112</v>
      </c>
    </row>
    <row r="23" spans="1:9" ht="15.75" thickTop="1" x14ac:dyDescent="0.25">
      <c r="A23" t="s">
        <v>19</v>
      </c>
    </row>
    <row r="24" spans="1:9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9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9" x14ac:dyDescent="0.25">
      <c r="A26" t="s">
        <v>22</v>
      </c>
    </row>
    <row r="27" spans="1:9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9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9" x14ac:dyDescent="0.25">
      <c r="A31" s="37" t="s">
        <v>24</v>
      </c>
      <c r="B31" s="37"/>
      <c r="C31" s="37"/>
      <c r="D31" s="37"/>
    </row>
    <row r="32" spans="1:9" x14ac:dyDescent="0.25">
      <c r="B32" s="36" t="s">
        <v>142</v>
      </c>
      <c r="C32" s="36"/>
      <c r="D32" s="36"/>
    </row>
    <row r="33" spans="1:9" x14ac:dyDescent="0.25">
      <c r="B33" s="7">
        <f>+B4</f>
        <v>2022</v>
      </c>
      <c r="C33" s="7">
        <f t="shared" ref="C33:D33" si="11">+C4</f>
        <v>2021</v>
      </c>
      <c r="D33" s="7">
        <f t="shared" si="11"/>
        <v>2020</v>
      </c>
      <c r="F33" s="7">
        <f>B33</f>
        <v>2022</v>
      </c>
      <c r="G33" s="7">
        <f>C33</f>
        <v>2021</v>
      </c>
      <c r="H33" s="7">
        <f>D33</f>
        <v>2020</v>
      </c>
    </row>
    <row r="35" spans="1:9" x14ac:dyDescent="0.25">
      <c r="A35" t="s">
        <v>25</v>
      </c>
    </row>
    <row r="36" spans="1:9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9" x14ac:dyDescent="0.25">
      <c r="A37" s="1" t="s">
        <v>27</v>
      </c>
      <c r="B37" s="12">
        <v>24658</v>
      </c>
      <c r="C37" s="12">
        <v>27699</v>
      </c>
      <c r="D37" s="12">
        <v>52927</v>
      </c>
      <c r="F37" s="25">
        <f t="shared" ref="F37:G37" si="12">SUM(B36:B38)</f>
        <v>76488</v>
      </c>
      <c r="G37" s="25">
        <f t="shared" si="12"/>
        <v>88917</v>
      </c>
      <c r="H37" s="25">
        <f>SUM(D36:D38)</f>
        <v>107063</v>
      </c>
      <c r="I37" t="s">
        <v>150</v>
      </c>
    </row>
    <row r="38" spans="1:9" x14ac:dyDescent="0.25">
      <c r="A38" s="1" t="s">
        <v>28</v>
      </c>
      <c r="B38" s="12">
        <v>28184</v>
      </c>
      <c r="C38" s="12">
        <v>26278</v>
      </c>
      <c r="D38" s="12">
        <v>16120</v>
      </c>
      <c r="F38" s="25">
        <f>0.5*(C38+B38)</f>
        <v>27231</v>
      </c>
      <c r="G38" s="25">
        <f>0.5*(D38+C38)</f>
        <v>21199</v>
      </c>
      <c r="H38" s="25">
        <f>0.5*(D38)</f>
        <v>8060</v>
      </c>
      <c r="I38" t="s">
        <v>155</v>
      </c>
    </row>
    <row r="39" spans="1:9" x14ac:dyDescent="0.25">
      <c r="A39" s="1" t="s">
        <v>29</v>
      </c>
      <c r="B39" s="12">
        <v>4946</v>
      </c>
      <c r="C39" s="12">
        <v>6580</v>
      </c>
      <c r="D39" s="12">
        <v>4061</v>
      </c>
      <c r="F39" s="18">
        <f>0.5*(C39+B39)</f>
        <v>5763</v>
      </c>
      <c r="G39" s="18">
        <f>0.5*(D39+C39)</f>
        <v>5320.5</v>
      </c>
      <c r="H39">
        <f>0.5*D39</f>
        <v>2030.5</v>
      </c>
      <c r="I39" t="s">
        <v>154</v>
      </c>
    </row>
    <row r="40" spans="1:9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9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9" x14ac:dyDescent="0.25">
      <c r="A42" s="8" t="s">
        <v>31</v>
      </c>
      <c r="B42" s="13">
        <f>+SUM(B36:B41)</f>
        <v>135405</v>
      </c>
      <c r="C42" s="13">
        <f t="shared" ref="C42:D42" si="13">+SUM(C36:C41)</f>
        <v>134836</v>
      </c>
      <c r="D42" s="13">
        <f t="shared" si="13"/>
        <v>143713</v>
      </c>
      <c r="F42" s="18">
        <f>0.5*(C42+B42)</f>
        <v>135120.5</v>
      </c>
      <c r="G42" s="18">
        <f>0.5*(D42+C42)</f>
        <v>139274.5</v>
      </c>
      <c r="H42" s="18">
        <f>0.5*D42</f>
        <v>71856.5</v>
      </c>
      <c r="I42" t="s">
        <v>161</v>
      </c>
    </row>
    <row r="43" spans="1:9" x14ac:dyDescent="0.25">
      <c r="A43" t="s">
        <v>48</v>
      </c>
      <c r="B43" s="12"/>
      <c r="C43" s="12"/>
      <c r="D43" s="12"/>
    </row>
    <row r="44" spans="1:9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9" x14ac:dyDescent="0.25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  <c r="F45" s="25">
        <f>B45-C45</f>
        <v>2677</v>
      </c>
      <c r="G45" s="25">
        <f>C45-D45</f>
        <v>2674</v>
      </c>
      <c r="H45" s="25">
        <f>D45-E45</f>
        <v>-612</v>
      </c>
      <c r="I45" t="s">
        <v>191</v>
      </c>
    </row>
    <row r="46" spans="1:9" x14ac:dyDescent="0.25">
      <c r="A46" s="1" t="s">
        <v>49</v>
      </c>
      <c r="B46" s="12">
        <v>54428</v>
      </c>
      <c r="C46" s="12">
        <v>48849</v>
      </c>
      <c r="D46" s="12">
        <v>42522</v>
      </c>
      <c r="F46" s="25">
        <f t="shared" ref="F46:G46" si="14">F45+B79</f>
        <v>13781</v>
      </c>
      <c r="G46" s="25">
        <f t="shared" si="14"/>
        <v>13958</v>
      </c>
      <c r="H46" s="25">
        <f>H45+D79</f>
        <v>10444</v>
      </c>
      <c r="I46" t="s">
        <v>192</v>
      </c>
    </row>
    <row r="47" spans="1:9" x14ac:dyDescent="0.25">
      <c r="A47" s="8" t="s">
        <v>50</v>
      </c>
      <c r="B47" s="13">
        <f>+SUM(B44:B46)</f>
        <v>217350</v>
      </c>
      <c r="C47" s="13">
        <f t="shared" ref="C47:D47" si="15">+SUM(C44:C46)</f>
        <v>216166</v>
      </c>
      <c r="D47" s="13">
        <f t="shared" si="15"/>
        <v>180175</v>
      </c>
    </row>
    <row r="48" spans="1:9" ht="15.75" thickBot="1" x14ac:dyDescent="0.3">
      <c r="A48" s="9" t="s">
        <v>33</v>
      </c>
      <c r="B48" s="14">
        <f>+B42+B47</f>
        <v>352755</v>
      </c>
      <c r="C48" s="14">
        <f t="shared" ref="C48:D48" si="16">+C42+C47</f>
        <v>351002</v>
      </c>
      <c r="D48" s="14">
        <f t="shared" si="16"/>
        <v>323888</v>
      </c>
    </row>
    <row r="49" spans="1:9" ht="15.75" thickTop="1" x14ac:dyDescent="0.25"/>
    <row r="50" spans="1:9" x14ac:dyDescent="0.25">
      <c r="A50" t="s">
        <v>34</v>
      </c>
    </row>
    <row r="51" spans="1:9" x14ac:dyDescent="0.25">
      <c r="A51" s="1" t="s">
        <v>35</v>
      </c>
      <c r="B51" s="12">
        <v>64115</v>
      </c>
      <c r="C51" s="12">
        <v>54763</v>
      </c>
      <c r="D51" s="12">
        <v>42296</v>
      </c>
      <c r="F51">
        <f>0.5*(C51+B51)</f>
        <v>59439</v>
      </c>
      <c r="G51">
        <f>0.5*(D51+C51)</f>
        <v>48529.5</v>
      </c>
      <c r="H51">
        <f>0.5*D51</f>
        <v>21148</v>
      </c>
      <c r="I51" t="s">
        <v>158</v>
      </c>
    </row>
    <row r="52" spans="1:9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9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9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9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9" x14ac:dyDescent="0.25">
      <c r="A56" s="8" t="s">
        <v>40</v>
      </c>
      <c r="B56" s="13">
        <f>+SUM(B51:B55)</f>
        <v>153982</v>
      </c>
      <c r="C56" s="13">
        <f t="shared" ref="C56:D56" si="17">+SUM(C51:C55)</f>
        <v>125481</v>
      </c>
      <c r="D56" s="13">
        <f t="shared" si="17"/>
        <v>105392</v>
      </c>
      <c r="F56">
        <f>0.5*(C56+B56)</f>
        <v>139731.5</v>
      </c>
      <c r="G56">
        <f>0.5*(D56+C56)</f>
        <v>115436.5</v>
      </c>
      <c r="H56">
        <f>0.5*D56</f>
        <v>52696</v>
      </c>
      <c r="I56" t="s">
        <v>162</v>
      </c>
    </row>
    <row r="57" spans="1:9" x14ac:dyDescent="0.25">
      <c r="A57" t="s">
        <v>51</v>
      </c>
      <c r="B57" s="12"/>
      <c r="C57" s="12"/>
      <c r="D57" s="12"/>
    </row>
    <row r="58" spans="1:9" x14ac:dyDescent="0.25">
      <c r="A58" s="1" t="s">
        <v>37</v>
      </c>
      <c r="B58" s="12"/>
      <c r="C58" s="12"/>
      <c r="D58" s="12"/>
    </row>
    <row r="59" spans="1:9" x14ac:dyDescent="0.25">
      <c r="A59" s="1" t="s">
        <v>39</v>
      </c>
      <c r="B59" s="12">
        <v>98959</v>
      </c>
      <c r="C59" s="12">
        <v>109106</v>
      </c>
      <c r="D59" s="12">
        <v>98667</v>
      </c>
      <c r="F59" s="25">
        <f t="shared" ref="F59:G59" si="18">B68+B59</f>
        <v>149631</v>
      </c>
      <c r="G59" s="25">
        <f t="shared" si="18"/>
        <v>172196</v>
      </c>
      <c r="H59" s="25">
        <f>D68+D59</f>
        <v>164006</v>
      </c>
      <c r="I59" t="s">
        <v>194</v>
      </c>
    </row>
    <row r="60" spans="1:9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9" x14ac:dyDescent="0.25">
      <c r="A61" s="22" t="s">
        <v>53</v>
      </c>
      <c r="B61" s="21">
        <f>+B59+B60</f>
        <v>148101</v>
      </c>
      <c r="C61" s="21">
        <f t="shared" ref="C61:D61" si="19">+C59+C60</f>
        <v>162431</v>
      </c>
      <c r="D61" s="21">
        <f t="shared" si="19"/>
        <v>153157</v>
      </c>
    </row>
    <row r="62" spans="1:9" x14ac:dyDescent="0.25">
      <c r="A62" s="8" t="s">
        <v>41</v>
      </c>
      <c r="B62" s="13">
        <f>+B56+B61</f>
        <v>302083</v>
      </c>
      <c r="C62" s="13">
        <f t="shared" ref="C62:D62" si="20">+C56+C61</f>
        <v>287912</v>
      </c>
      <c r="D62" s="13">
        <f t="shared" si="20"/>
        <v>258549</v>
      </c>
      <c r="F62" s="25">
        <f t="shared" ref="F62:G62" si="21">B48-B62</f>
        <v>50672</v>
      </c>
      <c r="G62" s="25">
        <f t="shared" si="21"/>
        <v>63090</v>
      </c>
      <c r="H62" s="25">
        <f>D48-D62</f>
        <v>65339</v>
      </c>
      <c r="I62" t="s">
        <v>165</v>
      </c>
    </row>
    <row r="63" spans="1:9" x14ac:dyDescent="0.25">
      <c r="B63" s="12"/>
      <c r="C63" s="12"/>
      <c r="D63" s="12"/>
    </row>
    <row r="64" spans="1:9" x14ac:dyDescent="0.25">
      <c r="A64" t="s">
        <v>42</v>
      </c>
      <c r="B64" s="12"/>
      <c r="C64" s="12"/>
      <c r="D64" s="12"/>
    </row>
    <row r="65" spans="1:9" x14ac:dyDescent="0.25">
      <c r="A65" s="1" t="s">
        <v>54</v>
      </c>
      <c r="B65" s="12">
        <v>64849</v>
      </c>
      <c r="C65" s="12">
        <v>57365</v>
      </c>
      <c r="D65" s="12">
        <v>50779</v>
      </c>
      <c r="E65" t="s">
        <v>166</v>
      </c>
      <c r="F65" s="24">
        <f t="shared" ref="F65:G65" si="22">(B48-B56)/B65</f>
        <v>3.0651667720396611</v>
      </c>
      <c r="G65" s="24">
        <f t="shared" si="22"/>
        <v>3.9313344373747059</v>
      </c>
      <c r="H65" s="24">
        <f>(D48-D56)/D65</f>
        <v>4.3028811122708204</v>
      </c>
      <c r="I65" t="s">
        <v>167</v>
      </c>
    </row>
    <row r="66" spans="1:9" x14ac:dyDescent="0.25">
      <c r="A66" s="1" t="s">
        <v>43</v>
      </c>
      <c r="B66" s="12">
        <v>-3068</v>
      </c>
      <c r="C66" s="12">
        <v>5562</v>
      </c>
      <c r="D66" s="12">
        <v>14966</v>
      </c>
      <c r="F66" s="27">
        <v>129.93</v>
      </c>
      <c r="G66" s="27">
        <v>177.57</v>
      </c>
      <c r="H66">
        <v>132.69</v>
      </c>
      <c r="I66" t="s">
        <v>168</v>
      </c>
    </row>
    <row r="67" spans="1:9" x14ac:dyDescent="0.25">
      <c r="A67" s="1" t="s">
        <v>44</v>
      </c>
      <c r="B67" s="12">
        <v>-11109</v>
      </c>
      <c r="C67" s="12">
        <v>163</v>
      </c>
      <c r="D67" s="12">
        <v>-406</v>
      </c>
      <c r="F67" s="27">
        <f t="shared" ref="F67:G67" si="23">F66*F68</f>
        <v>8425.8305700000001</v>
      </c>
      <c r="G67" s="27">
        <f t="shared" si="23"/>
        <v>10186.30305</v>
      </c>
      <c r="H67" s="27">
        <f>H66*H68</f>
        <v>6737.8655100000005</v>
      </c>
      <c r="I67" t="s">
        <v>169</v>
      </c>
    </row>
    <row r="68" spans="1:9" x14ac:dyDescent="0.25">
      <c r="A68" s="8" t="s">
        <v>45</v>
      </c>
      <c r="B68" s="13">
        <f>+SUM(B65:B67)</f>
        <v>50672</v>
      </c>
      <c r="C68" s="13">
        <f t="shared" ref="C68:D68" si="24">+SUM(C65:C67)</f>
        <v>63090</v>
      </c>
      <c r="D68" s="13">
        <f t="shared" si="24"/>
        <v>65339</v>
      </c>
      <c r="F68" s="25">
        <f t="shared" ref="F68:G68" si="25">B65/1000</f>
        <v>64.849000000000004</v>
      </c>
      <c r="G68" s="25">
        <f t="shared" si="25"/>
        <v>57.365000000000002</v>
      </c>
      <c r="H68" s="25">
        <f>D65/1000</f>
        <v>50.779000000000003</v>
      </c>
      <c r="I68" t="s">
        <v>193</v>
      </c>
    </row>
    <row r="69" spans="1:9" ht="15.75" thickBot="1" x14ac:dyDescent="0.3">
      <c r="A69" s="9" t="s">
        <v>46</v>
      </c>
      <c r="B69" s="14">
        <f>+B68+B62</f>
        <v>352755</v>
      </c>
      <c r="C69" s="14">
        <f t="shared" ref="C69:D69" si="26">+C68+C62</f>
        <v>351002</v>
      </c>
      <c r="D69" s="14">
        <f t="shared" si="26"/>
        <v>323888</v>
      </c>
    </row>
    <row r="70" spans="1:9" ht="15.75" thickTop="1" x14ac:dyDescent="0.25"/>
    <row r="71" spans="1:9" x14ac:dyDescent="0.25">
      <c r="A71" s="37" t="s">
        <v>55</v>
      </c>
      <c r="B71" s="37"/>
      <c r="C71" s="37"/>
      <c r="D71" s="37"/>
    </row>
    <row r="72" spans="1:9" x14ac:dyDescent="0.25">
      <c r="B72" s="36" t="s">
        <v>23</v>
      </c>
      <c r="C72" s="36"/>
      <c r="D72" s="36"/>
    </row>
    <row r="73" spans="1:9" x14ac:dyDescent="0.25">
      <c r="B73" s="7">
        <f>+B33</f>
        <v>2022</v>
      </c>
      <c r="C73" s="7">
        <f t="shared" ref="C73:D73" si="27">+C33</f>
        <v>2021</v>
      </c>
      <c r="D73" s="7">
        <f t="shared" si="27"/>
        <v>2020</v>
      </c>
      <c r="F73" s="7">
        <f>B73</f>
        <v>2022</v>
      </c>
      <c r="G73" s="7">
        <f>C73</f>
        <v>2021</v>
      </c>
      <c r="H73" s="7">
        <f>D73</f>
        <v>2020</v>
      </c>
    </row>
    <row r="75" spans="1:9" x14ac:dyDescent="0.25">
      <c r="A75" s="7" t="s">
        <v>56</v>
      </c>
      <c r="B75" s="15"/>
      <c r="C75" s="15"/>
      <c r="D75" s="15"/>
    </row>
    <row r="76" spans="1:9" x14ac:dyDescent="0.25">
      <c r="A76" t="s">
        <v>57</v>
      </c>
      <c r="B76" s="12">
        <f>+B22</f>
        <v>99803</v>
      </c>
      <c r="C76" s="12">
        <f t="shared" ref="C76:D76" si="28">+C22</f>
        <v>94680</v>
      </c>
      <c r="D76" s="12">
        <f t="shared" si="28"/>
        <v>57411</v>
      </c>
    </row>
    <row r="77" spans="1:9" x14ac:dyDescent="0.25">
      <c r="A77" s="11" t="s">
        <v>18</v>
      </c>
      <c r="B77" s="15"/>
      <c r="C77" s="15"/>
      <c r="D77" s="15"/>
    </row>
    <row r="78" spans="1:9" x14ac:dyDescent="0.25">
      <c r="A78" s="1" t="s">
        <v>58</v>
      </c>
      <c r="B78" s="12"/>
      <c r="C78" s="12"/>
      <c r="D78" s="12"/>
    </row>
    <row r="79" spans="1:9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9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29">+SUM(C76:C90)</f>
        <v>104038</v>
      </c>
      <c r="D91" s="13">
        <f t="shared" si="2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9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9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9" x14ac:dyDescent="0.25">
      <c r="A99" s="8" t="s">
        <v>70</v>
      </c>
      <c r="B99" s="13">
        <f>+SUM(B93:B98)</f>
        <v>-22354</v>
      </c>
      <c r="C99" s="13">
        <f t="shared" ref="C99:D99" si="30">+SUM(C93:C98)</f>
        <v>-14545</v>
      </c>
      <c r="D99" s="13">
        <f t="shared" si="30"/>
        <v>-4289</v>
      </c>
    </row>
    <row r="100" spans="1:9" x14ac:dyDescent="0.25">
      <c r="A100" s="7" t="s">
        <v>71</v>
      </c>
      <c r="B100" s="12"/>
      <c r="C100" s="12"/>
      <c r="D100" s="12"/>
    </row>
    <row r="101" spans="1:9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9" x14ac:dyDescent="0.25">
      <c r="A102" s="1" t="s">
        <v>72</v>
      </c>
      <c r="B102" s="12">
        <v>-14841</v>
      </c>
      <c r="C102" s="12">
        <v>-14467</v>
      </c>
      <c r="D102" s="12">
        <v>-14081</v>
      </c>
      <c r="F102" s="25">
        <f t="shared" ref="F102:G102" si="31">-B102</f>
        <v>14841</v>
      </c>
      <c r="G102" s="25">
        <f t="shared" si="31"/>
        <v>14467</v>
      </c>
      <c r="H102" s="25">
        <f>-D102</f>
        <v>14081</v>
      </c>
    </row>
    <row r="103" spans="1:9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9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9" x14ac:dyDescent="0.25">
      <c r="A105" s="1" t="s">
        <v>75</v>
      </c>
      <c r="B105" s="12">
        <v>-9543</v>
      </c>
      <c r="C105" s="12">
        <v>-8750</v>
      </c>
      <c r="D105" s="12">
        <v>-12629</v>
      </c>
      <c r="F105" s="25">
        <f t="shared" ref="F105:G105" si="32">F106+B59+B55</f>
        <v>119630</v>
      </c>
      <c r="G105" s="25">
        <f t="shared" si="32"/>
        <v>127469</v>
      </c>
      <c r="H105" s="25">
        <f>H106+D59+D55</f>
        <v>120069</v>
      </c>
      <c r="I105" t="s">
        <v>163</v>
      </c>
    </row>
    <row r="106" spans="1:9" x14ac:dyDescent="0.25">
      <c r="A106" s="1" t="s">
        <v>76</v>
      </c>
      <c r="B106" s="12">
        <v>3955</v>
      </c>
      <c r="C106" s="12">
        <v>1022</v>
      </c>
      <c r="D106" s="12">
        <v>-963</v>
      </c>
      <c r="F106" s="12">
        <v>9543</v>
      </c>
      <c r="G106" s="12">
        <v>8750</v>
      </c>
      <c r="H106">
        <v>12629</v>
      </c>
      <c r="I106" t="s">
        <v>190</v>
      </c>
    </row>
    <row r="107" spans="1:9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9" x14ac:dyDescent="0.25">
      <c r="A108" s="8" t="s">
        <v>77</v>
      </c>
      <c r="B108" s="13">
        <f>+SUM(B101:B107)</f>
        <v>-110749</v>
      </c>
      <c r="C108" s="13">
        <f t="shared" ref="C108:D108" si="33">+SUM(C101:C107)</f>
        <v>-93353</v>
      </c>
      <c r="D108" s="13">
        <f t="shared" si="33"/>
        <v>-86820</v>
      </c>
    </row>
    <row r="109" spans="1:9" x14ac:dyDescent="0.25">
      <c r="A109" s="8" t="s">
        <v>78</v>
      </c>
      <c r="B109" s="13">
        <f>+B91+B99+B108</f>
        <v>-10952</v>
      </c>
      <c r="C109" s="13">
        <f t="shared" ref="C109:D109" si="34">+C91+C99+C108</f>
        <v>-3860</v>
      </c>
      <c r="D109" s="13">
        <f t="shared" si="34"/>
        <v>-10435</v>
      </c>
    </row>
    <row r="110" spans="1:9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  <c r="F110" s="2">
        <v>111443</v>
      </c>
      <c r="G110" s="2">
        <v>92953</v>
      </c>
      <c r="H110" s="2">
        <v>73365</v>
      </c>
      <c r="I110" t="s">
        <v>164</v>
      </c>
    </row>
    <row r="111" spans="1:9" ht="15.75" thickTop="1" x14ac:dyDescent="0.25">
      <c r="B111" s="12"/>
      <c r="C111" s="12"/>
      <c r="D111" s="12"/>
    </row>
    <row r="112" spans="1:9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5"/>
  <sheetViews>
    <sheetView topLeftCell="C19" zoomScaleNormal="100" workbookViewId="0">
      <selection activeCell="F57" sqref="F57"/>
    </sheetView>
  </sheetViews>
  <sheetFormatPr defaultColWidth="8.7109375" defaultRowHeight="15" x14ac:dyDescent="0.25"/>
  <cols>
    <col min="1" max="1" width="4.7109375" customWidth="1"/>
    <col min="2" max="2" width="44.7109375" customWidth="1"/>
    <col min="3" max="3" width="13.28515625" bestFit="1" customWidth="1"/>
    <col min="4" max="4" width="14.28515625" bestFit="1" customWidth="1"/>
    <col min="5" max="5" width="13.28515625" bestFit="1" customWidth="1"/>
    <col min="6" max="6" width="174.85546875" bestFit="1" customWidth="1"/>
  </cols>
  <sheetData>
    <row r="1" spans="1:12" ht="60" customHeight="1" x14ac:dyDescent="0.4">
      <c r="A1" s="6"/>
      <c r="B1" s="20" t="s">
        <v>0</v>
      </c>
      <c r="C1" s="19"/>
      <c r="D1" s="19"/>
      <c r="E1" s="19"/>
      <c r="F1" s="19" t="s">
        <v>189</v>
      </c>
      <c r="G1" s="19"/>
      <c r="H1" s="19"/>
      <c r="I1" s="19"/>
      <c r="J1" s="19"/>
      <c r="K1" s="19"/>
    </row>
    <row r="2" spans="1:12" x14ac:dyDescent="0.25">
      <c r="C2" s="36" t="s">
        <v>23</v>
      </c>
      <c r="D2" s="36"/>
      <c r="E2" s="36"/>
      <c r="F2" s="23"/>
    </row>
    <row r="3" spans="1:12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I3">
        <f>C3</f>
        <v>2022</v>
      </c>
      <c r="J3">
        <f>D3</f>
        <v>2021</v>
      </c>
      <c r="K3">
        <f>E3</f>
        <v>2020</v>
      </c>
    </row>
    <row r="4" spans="1:12" x14ac:dyDescent="0.25">
      <c r="A4" s="18">
        <v>1</v>
      </c>
      <c r="B4" s="7" t="s">
        <v>99</v>
      </c>
      <c r="I4" t="s">
        <v>152</v>
      </c>
    </row>
    <row r="5" spans="1:12" x14ac:dyDescent="0.25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F5" s="24"/>
      <c r="I5" t="s">
        <v>153</v>
      </c>
    </row>
    <row r="6" spans="1:12" x14ac:dyDescent="0.25">
      <c r="A6" s="18">
        <f t="shared" ref="A6:A13" si="0">+A5+0.1</f>
        <v>1.2000000000000002</v>
      </c>
      <c r="B6" s="1" t="s">
        <v>101</v>
      </c>
      <c r="C6" s="24">
        <f>'Financial Statements'!F37/'Financial Statements'!B56</f>
        <v>0.49673338442155579</v>
      </c>
      <c r="D6" s="24">
        <f>'Financial Statements'!G37/'Financial Statements'!C56</f>
        <v>0.70860927152317876</v>
      </c>
      <c r="E6" s="24">
        <f>'Financial Statements'!H37/'Financial Statements'!D56</f>
        <v>1.0158550933657204</v>
      </c>
      <c r="F6" s="24"/>
      <c r="I6" s="24">
        <f>('Financial Statements'!F39/'Financial Statements'!B12)*365</f>
        <v>9.4096740715557434</v>
      </c>
      <c r="J6" s="24">
        <f>('Financial Statements'!G39/'Financial Statements'!C12)*365</f>
        <v>9.1181020842234748</v>
      </c>
      <c r="K6" s="24">
        <f>('Financial Statements'!H39/'Financial Statements'!D12)*365</f>
        <v>4.3709416781179415</v>
      </c>
    </row>
    <row r="7" spans="1:12" x14ac:dyDescent="0.25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F7" s="24"/>
      <c r="I7" t="s">
        <v>156</v>
      </c>
    </row>
    <row r="8" spans="1:12" x14ac:dyDescent="0.25">
      <c r="A8" s="18">
        <f t="shared" si="0"/>
        <v>1.4000000000000004</v>
      </c>
      <c r="B8" s="1" t="s">
        <v>103</v>
      </c>
      <c r="C8" s="26">
        <f>'Financial Statements'!F37/'Financial Statements'!F17</f>
        <v>543.73590417762193</v>
      </c>
      <c r="D8" s="26">
        <f>'Financial Statements'!G37/'Financial Statements'!G17</f>
        <v>739.50611798482464</v>
      </c>
      <c r="E8" s="26">
        <f>'Financial Statements'!H37/'Financial Statements'!H17</f>
        <v>1010.6029533464364</v>
      </c>
      <c r="F8" t="s">
        <v>170</v>
      </c>
      <c r="G8" t="s">
        <v>151</v>
      </c>
      <c r="I8">
        <f>'Financial Statements'!F38</f>
        <v>27231</v>
      </c>
      <c r="J8">
        <f>'Financial Statements'!G38</f>
        <v>21199</v>
      </c>
      <c r="K8">
        <f>'Financial Statements'!H38</f>
        <v>8060</v>
      </c>
    </row>
    <row r="9" spans="1:12" x14ac:dyDescent="0.25">
      <c r="A9" s="18">
        <f t="shared" si="0"/>
        <v>1.5000000000000004</v>
      </c>
      <c r="B9" s="1" t="s">
        <v>104</v>
      </c>
      <c r="C9" s="26">
        <f>('Financial Statements'!B39/'Financial Statements'!B12)*365</f>
        <v>8.0756980666171607</v>
      </c>
      <c r="D9" s="26">
        <f>('Financial Statements'!C39/'Financial Statements'!C12)*365</f>
        <v>11.27659274770989</v>
      </c>
      <c r="E9" s="26">
        <f>('Financial Statements'!D39/'Financial Statements'!D12)*365</f>
        <v>8.7418833562358831</v>
      </c>
      <c r="F9" s="47" t="s">
        <v>202</v>
      </c>
      <c r="G9" t="str">
        <f>G8</f>
        <v>Days</v>
      </c>
      <c r="I9" t="s">
        <v>157</v>
      </c>
    </row>
    <row r="10" spans="1:12" x14ac:dyDescent="0.25">
      <c r="A10" s="18">
        <f t="shared" si="0"/>
        <v>1.6000000000000005</v>
      </c>
      <c r="B10" s="1" t="s">
        <v>105</v>
      </c>
      <c r="C10" s="26">
        <f>('Financial Statements'!B51/'Financial Statements'!B12)*365</f>
        <v>104.68527730310539</v>
      </c>
      <c r="D10" s="26">
        <f>('Financial Statements'!C51/'Financial Statements'!C12)*365</f>
        <v>93.851071222315596</v>
      </c>
      <c r="E10" s="26">
        <f>('Financial Statements'!D51/'Financial Statements'!D12)*365</f>
        <v>91.048189715674198</v>
      </c>
      <c r="F10" s="26"/>
      <c r="G10" t="str">
        <f>G9</f>
        <v>Days</v>
      </c>
    </row>
    <row r="11" spans="1:12" x14ac:dyDescent="0.25">
      <c r="A11" s="18">
        <f t="shared" si="0"/>
        <v>1.7000000000000006</v>
      </c>
      <c r="B11" s="1" t="s">
        <v>106</v>
      </c>
      <c r="C11" s="26">
        <f>('Financial Statements'!B38/'Financial Statements'!B8)*365</f>
        <v>26.087825363656648</v>
      </c>
      <c r="D11" s="26">
        <f>('Financial Statements'!C38/'Financial Statements'!C8)*365</f>
        <v>26.219311841713207</v>
      </c>
      <c r="E11" s="26">
        <f>('Financial Statements'!D38/'Financial Statements'!D8)*365</f>
        <v>21.433437152796749</v>
      </c>
      <c r="F11" s="31" t="s">
        <v>171</v>
      </c>
      <c r="G11" t="str">
        <f>G10</f>
        <v>Days</v>
      </c>
      <c r="I11" s="24">
        <f>'Financial Statements'!F51/'Financial Statements'!F12</f>
        <v>97.050428099809437</v>
      </c>
      <c r="J11" s="24">
        <f>'Financial Statements'!G51/'Financial Statements'!G12</f>
        <v>83.168299050150011</v>
      </c>
      <c r="K11" s="24">
        <f>'Financial Statements'!H51/'Financial Statements'!H12</f>
        <v>45.524094857837092</v>
      </c>
    </row>
    <row r="12" spans="1:12" x14ac:dyDescent="0.25">
      <c r="A12" s="18">
        <f t="shared" si="0"/>
        <v>1.8000000000000007</v>
      </c>
      <c r="B12" s="1" t="s">
        <v>107</v>
      </c>
      <c r="C12" s="27">
        <f t="shared" ref="C12:D12" si="1">I6+I8-I11</f>
        <v>27143.359245971744</v>
      </c>
      <c r="D12" s="27">
        <f t="shared" si="1"/>
        <v>21124.949803034073</v>
      </c>
      <c r="E12" s="27">
        <f>K6+K8-K11</f>
        <v>8018.8468468202809</v>
      </c>
      <c r="F12" t="s">
        <v>203</v>
      </c>
    </row>
    <row r="13" spans="1:12" x14ac:dyDescent="0.25">
      <c r="A13" s="18">
        <f t="shared" si="0"/>
        <v>1.9000000000000008</v>
      </c>
      <c r="B13" s="1" t="s">
        <v>108</v>
      </c>
      <c r="C13" s="28">
        <f>C14/'Financial Statements'!B8</f>
        <v>-0.64985747905297109</v>
      </c>
      <c r="D13" s="28">
        <f>D14/'Financial Statements'!C8</f>
        <v>-0.62178356938031853</v>
      </c>
      <c r="E13" s="28">
        <f>E14/'Financial Statements'!D8</f>
        <v>-0.83392164362603138</v>
      </c>
      <c r="F13" s="32" t="s">
        <v>172</v>
      </c>
      <c r="I13">
        <f>'Financial Statements'!F42-'Financial Statements'!F56</f>
        <v>-4611</v>
      </c>
      <c r="J13">
        <f>'Financial Statements'!G42-'Financial Statements'!G56</f>
        <v>23838</v>
      </c>
      <c r="K13">
        <f>'Financial Statements'!H42-'Financial Statements'!H56</f>
        <v>19160.5</v>
      </c>
      <c r="L13" t="s">
        <v>160</v>
      </c>
    </row>
    <row r="14" spans="1:12" x14ac:dyDescent="0.25">
      <c r="A14" s="18"/>
      <c r="B14" s="3" t="s">
        <v>109</v>
      </c>
      <c r="C14">
        <f>'Financial Statements'!B39+'Financial Statements'!B38-'Financial Statements'!B42-'Financial Statements'!B56</f>
        <v>-256257</v>
      </c>
      <c r="D14">
        <f>'Financial Statements'!C39+'Financial Statements'!C38-'Financial Statements'!C42-'Financial Statements'!C56</f>
        <v>-227459</v>
      </c>
      <c r="E14">
        <f>'Financial Statements'!D39+'Financial Statements'!D38-'Financial Statements'!D42-'Financial Statements'!D56</f>
        <v>-228924</v>
      </c>
      <c r="F14" s="32" t="s">
        <v>173</v>
      </c>
    </row>
    <row r="15" spans="1:12" x14ac:dyDescent="0.25">
      <c r="A15" s="18"/>
    </row>
    <row r="16" spans="1:12" x14ac:dyDescent="0.25">
      <c r="A16" s="18">
        <f>+A4+1</f>
        <v>2</v>
      </c>
      <c r="B16" s="17" t="s">
        <v>110</v>
      </c>
    </row>
    <row r="17" spans="1:6" x14ac:dyDescent="0.25">
      <c r="A17" s="18">
        <f>+A16+0.1</f>
        <v>2.1</v>
      </c>
      <c r="B17" s="1" t="s">
        <v>9</v>
      </c>
      <c r="C17" s="28">
        <f>('Financial Statements'!B8-'Financial Statements'!B12)/'Financial Statements'!B8</f>
        <v>0.43309630561360085</v>
      </c>
      <c r="D17" s="28">
        <f>('Financial Statements'!C8-'Financial Statements'!C12)/'Financial Statements'!C8</f>
        <v>0.41779359625167778</v>
      </c>
      <c r="E17" s="28">
        <f>('Financial Statements'!D8-'Financial Statements'!D12)/'Financial Statements'!D8</f>
        <v>0.38233247727810865</v>
      </c>
      <c r="F17" s="28"/>
    </row>
    <row r="18" spans="1:6" x14ac:dyDescent="0.25">
      <c r="A18" s="18">
        <f>+A17+0.1</f>
        <v>2.2000000000000002</v>
      </c>
      <c r="B18" s="1" t="s">
        <v>111</v>
      </c>
      <c r="C18" s="33">
        <f>C19/'Financial Statements'!B8</f>
        <v>0.33815757440506383</v>
      </c>
      <c r="D18" s="33">
        <f>D19/'Financial Statements'!C8</f>
        <v>0.36640178012503521</v>
      </c>
      <c r="E18" s="33">
        <f>E19/'Financial Statements'!D8</f>
        <v>0.29495655975083329</v>
      </c>
      <c r="F18" s="32" t="s">
        <v>174</v>
      </c>
    </row>
    <row r="19" spans="1:6" x14ac:dyDescent="0.25">
      <c r="A19" s="18"/>
      <c r="B19" s="3" t="s">
        <v>112</v>
      </c>
      <c r="C19" s="12">
        <f>'Financial Statements'!F22</f>
        <v>133345</v>
      </c>
      <c r="D19" s="12">
        <f>'Financial Statements'!G22</f>
        <v>134036</v>
      </c>
      <c r="E19" s="12">
        <f>'Financial Statements'!H22</f>
        <v>80970</v>
      </c>
      <c r="F19" s="34" t="s">
        <v>112</v>
      </c>
    </row>
    <row r="20" spans="1:6" x14ac:dyDescent="0.25">
      <c r="A20" s="18">
        <f>+A18+0.1</f>
        <v>2.3000000000000003</v>
      </c>
      <c r="B20" s="1" t="s">
        <v>113</v>
      </c>
      <c r="C20" s="33">
        <f>C21/'Financial Statements'!B8</f>
        <v>1.0569018684952629</v>
      </c>
      <c r="D20" s="33">
        <f>D21/'Financial Statements'!C8</f>
        <v>1.0767378224631441</v>
      </c>
      <c r="E20" s="33">
        <f>E21/'Financial Statements'!D8</f>
        <v>1.0455457807405788</v>
      </c>
      <c r="F20" s="34" t="s">
        <v>175</v>
      </c>
    </row>
    <row r="21" spans="1:6" x14ac:dyDescent="0.25">
      <c r="A21" s="18"/>
      <c r="B21" s="3" t="s">
        <v>114</v>
      </c>
      <c r="C21" s="12">
        <f>'Financial Statements'!B8+'Financial Statements'!B114+'Financial Statements'!B113</f>
        <v>416766</v>
      </c>
      <c r="D21" s="12">
        <f>'Financial Statements'!C8+'Financial Statements'!C114+'Financial Statements'!C113</f>
        <v>393889</v>
      </c>
      <c r="E21" s="12">
        <f>'Financial Statements'!D8+'Financial Statements'!D114+'Financial Statements'!D113</f>
        <v>287018</v>
      </c>
      <c r="F21" s="34" t="s">
        <v>114</v>
      </c>
    </row>
    <row r="22" spans="1:6" x14ac:dyDescent="0.25">
      <c r="A22" s="18">
        <f>+A20+0.1</f>
        <v>2.4000000000000004</v>
      </c>
      <c r="B22" s="1" t="s">
        <v>115</v>
      </c>
      <c r="C22" s="28">
        <f>'Financial Statements'!B22/'Financial Statements'!B8</f>
        <v>0.25309640705199732</v>
      </c>
      <c r="D22" s="28">
        <f>'Financial Statements'!C22/'Financial Statements'!C8</f>
        <v>0.25881793355694238</v>
      </c>
      <c r="E22" s="28">
        <f>'Financial Statements'!D22/'Financial Statements'!D8</f>
        <v>0.20913611278072236</v>
      </c>
      <c r="F22" s="28"/>
    </row>
    <row r="23" spans="1:6" x14ac:dyDescent="0.25">
      <c r="A23" s="18"/>
    </row>
    <row r="24" spans="1:6" x14ac:dyDescent="0.25">
      <c r="A24" s="18">
        <f>+A16+1</f>
        <v>3</v>
      </c>
      <c r="B24" s="7" t="s">
        <v>116</v>
      </c>
    </row>
    <row r="25" spans="1:6" x14ac:dyDescent="0.25">
      <c r="A25" s="18">
        <f>+A24+0.1</f>
        <v>3.1</v>
      </c>
      <c r="B25" s="1" t="s">
        <v>117</v>
      </c>
      <c r="C25" s="24">
        <f>'Financial Statements'!B59/'Financial Statements'!B68</f>
        <v>1.9529325860435744</v>
      </c>
      <c r="D25" s="24">
        <f>'Financial Statements'!C59/'Financial Statements'!C68</f>
        <v>1.729370740212395</v>
      </c>
      <c r="E25" s="24">
        <f>'Financial Statements'!D59/'Financial Statements'!D68</f>
        <v>1.5100782075024104</v>
      </c>
      <c r="F25" s="32" t="s">
        <v>176</v>
      </c>
    </row>
    <row r="26" spans="1:6" x14ac:dyDescent="0.25">
      <c r="A26" s="18">
        <f t="shared" ref="A26:A30" si="2">+A25+0.1</f>
        <v>3.2</v>
      </c>
      <c r="B26" s="1" t="s">
        <v>118</v>
      </c>
      <c r="C26" s="24">
        <f>'Financial Statements'!B59/'Financial Statements'!B48</f>
        <v>0.28053181386514719</v>
      </c>
      <c r="D26" s="24">
        <f>'Financial Statements'!C59/'Financial Statements'!C48</f>
        <v>0.31084153366647482</v>
      </c>
      <c r="E26" s="24">
        <f>'Financial Statements'!D59/'Financial Statements'!D48</f>
        <v>0.30463308304105124</v>
      </c>
      <c r="F26" s="32" t="s">
        <v>176</v>
      </c>
    </row>
    <row r="27" spans="1:6" x14ac:dyDescent="0.25">
      <c r="A27" s="18">
        <f t="shared" si="2"/>
        <v>3.3000000000000003</v>
      </c>
      <c r="B27" s="1" t="s">
        <v>119</v>
      </c>
      <c r="C27" s="24">
        <f>'Financial Statements'!B59/'Financial Statements'!B68</f>
        <v>1.9529325860435744</v>
      </c>
      <c r="D27" s="24">
        <f>'Financial Statements'!C59/'Financial Statements'!C68</f>
        <v>1.729370740212395</v>
      </c>
      <c r="E27" s="24">
        <f>'Financial Statements'!D59/'Financial Statements'!D68</f>
        <v>1.5100782075024104</v>
      </c>
      <c r="F27" s="32" t="s">
        <v>176</v>
      </c>
    </row>
    <row r="28" spans="1:6" x14ac:dyDescent="0.25">
      <c r="A28" s="18">
        <f t="shared" si="2"/>
        <v>3.4000000000000004</v>
      </c>
      <c r="B28" s="1" t="s">
        <v>120</v>
      </c>
      <c r="C28" s="24">
        <f>'Financial Statements'!B17/'Financial Statements'!B114</f>
        <v>17.921465968586386</v>
      </c>
      <c r="D28" s="24">
        <f>'Financial Statements'!C17/'Financial Statements'!C114</f>
        <v>16.333085225158168</v>
      </c>
      <c r="E28" s="24">
        <f>'Financial Statements'!D17/'Financial Statements'!D114</f>
        <v>12.880746169220521</v>
      </c>
    </row>
    <row r="29" spans="1:6" x14ac:dyDescent="0.25">
      <c r="A29" s="18">
        <f t="shared" si="2"/>
        <v>3.5000000000000004</v>
      </c>
      <c r="B29" s="1" t="s">
        <v>121</v>
      </c>
      <c r="C29" s="24">
        <f>C21/('Financial Statements'!F106+'Financial Statements'!B114)</f>
        <v>33.588491295938105</v>
      </c>
      <c r="D29" s="24">
        <f>D21/('Financial Statements'!G106+'Financial Statements'!C114)</f>
        <v>34.439888082539127</v>
      </c>
      <c r="E29" s="24">
        <f>E21/('Financial Statements'!H106+'Financial Statements'!D114)</f>
        <v>18.362100953233959</v>
      </c>
      <c r="F29" s="32" t="s">
        <v>177</v>
      </c>
    </row>
    <row r="30" spans="1:6" x14ac:dyDescent="0.25">
      <c r="A30" s="18">
        <f t="shared" si="2"/>
        <v>3.6000000000000005</v>
      </c>
      <c r="B30" s="1" t="s">
        <v>122</v>
      </c>
      <c r="C30" s="27">
        <f>C31/'Financial Statements'!F68</f>
        <v>2180.4037070733548</v>
      </c>
      <c r="D30" s="27">
        <f>D31/'Financial Statements'!G68</f>
        <v>2412.429181556698</v>
      </c>
      <c r="E30" s="27">
        <f>E31/'Financial Statements'!H68</f>
        <v>2111.2861616022369</v>
      </c>
      <c r="F30" s="32" t="s">
        <v>179</v>
      </c>
    </row>
    <row r="31" spans="1:6" x14ac:dyDescent="0.25">
      <c r="A31" s="18"/>
      <c r="B31" s="3" t="s">
        <v>123</v>
      </c>
      <c r="C31" s="12">
        <f>'Financial Statements'!B91+'Financial Statements'!F46+'Financial Statements'!B104</f>
        <v>141397</v>
      </c>
      <c r="D31" s="12">
        <f>'Financial Statements'!C91+'Financial Statements'!G46+'Financial Statements'!C104</f>
        <v>138389</v>
      </c>
      <c r="E31" s="12">
        <f>'Financial Statements'!D91+'Financial Statements'!H46+'Financial Statements'!D104</f>
        <v>107209</v>
      </c>
      <c r="F31" s="32" t="s">
        <v>178</v>
      </c>
    </row>
    <row r="32" spans="1:6" x14ac:dyDescent="0.25">
      <c r="A32" s="18"/>
    </row>
    <row r="33" spans="1:6" x14ac:dyDescent="0.25">
      <c r="A33" s="18">
        <f>+A24+1</f>
        <v>4</v>
      </c>
      <c r="B33" s="17" t="s">
        <v>124</v>
      </c>
    </row>
    <row r="34" spans="1:6" x14ac:dyDescent="0.25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  <c r="F34" s="35" t="s">
        <v>180</v>
      </c>
    </row>
    <row r="35" spans="1:6" x14ac:dyDescent="0.25">
      <c r="A35" s="18">
        <f t="shared" ref="A35:A37" si="3">+A34+0.1</f>
        <v>4.1999999999999993</v>
      </c>
      <c r="B35" s="1" t="s">
        <v>126</v>
      </c>
      <c r="C35" s="24">
        <f>'Financial Statements'!B8/'Financial Statements'!B47</f>
        <v>1.8142535081665516</v>
      </c>
      <c r="D35" s="24">
        <f>'Financial Statements'!C8/'Financial Statements'!C47</f>
        <v>1.6922966608994938</v>
      </c>
      <c r="E35" s="24">
        <f>'Financial Statements'!D8/'Financial Statements'!D47</f>
        <v>1.5236020535590398</v>
      </c>
      <c r="F35" s="24"/>
    </row>
    <row r="36" spans="1:6" x14ac:dyDescent="0.25">
      <c r="A36" s="18">
        <f t="shared" si="3"/>
        <v>4.2999999999999989</v>
      </c>
      <c r="B36" s="1" t="s">
        <v>127</v>
      </c>
      <c r="C36" s="24">
        <f>'Financial Statements'!B12/'Financial Statements'!B39</f>
        <v>45.197331176708452</v>
      </c>
      <c r="D36" s="24">
        <f>'Financial Statements'!C12/'Financial Statements'!C39</f>
        <v>32.367933130699086</v>
      </c>
      <c r="E36" s="24">
        <f>'Financial Statements'!D12/'Financial Statements'!D39</f>
        <v>41.753016498399411</v>
      </c>
      <c r="F36" s="24"/>
    </row>
    <row r="37" spans="1:6" x14ac:dyDescent="0.25">
      <c r="A37" s="18">
        <f t="shared" si="3"/>
        <v>4.3999999999999986</v>
      </c>
      <c r="B37" s="1" t="s">
        <v>128</v>
      </c>
      <c r="C37" s="28">
        <f>'Financial Statements'!B22/'Financial Statements'!B48</f>
        <v>0.28292440929256851</v>
      </c>
      <c r="D37" s="28">
        <f>'Financial Statements'!C22/'Financial Statements'!C48</f>
        <v>0.26974205275183616</v>
      </c>
      <c r="E37" s="28">
        <f>'Financial Statements'!D22/'Financial Statements'!D48</f>
        <v>0.1772557180259843</v>
      </c>
      <c r="F37" s="28"/>
    </row>
    <row r="38" spans="1:6" x14ac:dyDescent="0.25">
      <c r="A38" s="18"/>
    </row>
    <row r="39" spans="1:6" x14ac:dyDescent="0.25">
      <c r="A39" s="18">
        <f>+A33+1</f>
        <v>5</v>
      </c>
      <c r="B39" s="17" t="s">
        <v>129</v>
      </c>
    </row>
    <row r="40" spans="1:6" x14ac:dyDescent="0.25">
      <c r="A40" s="18">
        <f>+A39+0.1</f>
        <v>5.0999999999999996</v>
      </c>
      <c r="B40" s="1" t="s">
        <v>130</v>
      </c>
      <c r="C40" s="24">
        <f>'Financial Statements'!F66/'Financial Statements'!B25</f>
        <v>21.265139116202946</v>
      </c>
      <c r="D40" s="24">
        <f>'Financial Statements'!G66/'Financial Statements'!C25</f>
        <v>31.652406417112296</v>
      </c>
      <c r="E40" s="24">
        <f>'Financial Statements'!H66/'Financial Statements'!D25</f>
        <v>40.454268292682926</v>
      </c>
      <c r="F40" s="35" t="s">
        <v>181</v>
      </c>
    </row>
    <row r="41" spans="1:6" x14ac:dyDescent="0.25">
      <c r="A41" s="18">
        <f t="shared" ref="A41:A44" si="4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  <c r="F41" s="32" t="s">
        <v>182</v>
      </c>
    </row>
    <row r="42" spans="1:6" x14ac:dyDescent="0.25">
      <c r="A42" s="18">
        <f t="shared" si="4"/>
        <v>5.2999999999999989</v>
      </c>
      <c r="B42" s="1" t="s">
        <v>132</v>
      </c>
      <c r="C42" s="27">
        <f>'Financial Statements'!F66/'Financial Statements'!F65</f>
        <v>42.389210657383053</v>
      </c>
      <c r="D42" s="27">
        <f>'Financial Statements'!G66/'Financial Statements'!G65</f>
        <v>45.167869289334469</v>
      </c>
      <c r="E42" s="27">
        <f>'Financial Statements'!H66/'Financial Statements'!H65</f>
        <v>30.837477619727593</v>
      </c>
      <c r="F42" s="27"/>
    </row>
    <row r="43" spans="1:6" x14ac:dyDescent="0.25">
      <c r="A43" s="18">
        <f t="shared" si="4"/>
        <v>5.3999999999999986</v>
      </c>
      <c r="B43" s="3" t="s">
        <v>133</v>
      </c>
      <c r="C43" s="24">
        <f>'Financial Statements'!B68/'Financial Statements'!F68</f>
        <v>781.38444694598218</v>
      </c>
      <c r="D43" s="24">
        <f>'Financial Statements'!C68/'Financial Statements'!G68</f>
        <v>1099.7995293297306</v>
      </c>
      <c r="E43" s="24">
        <f>'Financial Statements'!D68/'Financial Statements'!H68</f>
        <v>1286.7327044644439</v>
      </c>
      <c r="F43" s="32" t="s">
        <v>183</v>
      </c>
    </row>
    <row r="44" spans="1:6" x14ac:dyDescent="0.25">
      <c r="A44" s="18">
        <f t="shared" si="4"/>
        <v>5.4999999999999982</v>
      </c>
      <c r="B44" s="1" t="s">
        <v>134</v>
      </c>
      <c r="C44" s="28">
        <f>'Financial Statements'!F102/'Financial Statements'!B22</f>
        <v>0.14870294480125848</v>
      </c>
      <c r="D44" s="28">
        <f>'Financial Statements'!G102/'Financial Statements'!C22</f>
        <v>0.15279890156316012</v>
      </c>
      <c r="E44" s="28">
        <f>'Financial Statements'!H102/'Financial Statements'!D22</f>
        <v>0.24526658654264863</v>
      </c>
      <c r="F44" s="28"/>
    </row>
    <row r="45" spans="1:6" x14ac:dyDescent="0.25">
      <c r="A45" s="18"/>
      <c r="B45" s="3" t="s">
        <v>135</v>
      </c>
      <c r="C45" s="29">
        <f>'Financial Statements'!F102/'Financial Statements'!F68</f>
        <v>228.85472405125753</v>
      </c>
      <c r="D45" s="29">
        <f>'Financial Statements'!G102/'Financial Statements'!G68</f>
        <v>252.19210319881461</v>
      </c>
      <c r="E45" s="29">
        <f>'Financial Statements'!H102/'Financial Statements'!H68</f>
        <v>277.29967112388977</v>
      </c>
      <c r="F45" s="32" t="s">
        <v>184</v>
      </c>
    </row>
    <row r="46" spans="1:6" x14ac:dyDescent="0.25">
      <c r="A46" s="18">
        <f>+A44+0.1</f>
        <v>5.5999999999999979</v>
      </c>
      <c r="B46" s="1" t="s">
        <v>136</v>
      </c>
      <c r="C46" s="28">
        <f>C45/'Financial Statements'!F66</f>
        <v>1.761369383908701</v>
      </c>
      <c r="D46" s="28">
        <f>D45/'Financial Statements'!G66</f>
        <v>1.4202404865620015</v>
      </c>
      <c r="E46" s="28">
        <f>E45/'Financial Statements'!H66</f>
        <v>2.089830967849045</v>
      </c>
      <c r="F46" s="32" t="s">
        <v>185</v>
      </c>
    </row>
    <row r="47" spans="1:6" x14ac:dyDescent="0.25">
      <c r="A47" s="18">
        <f t="shared" ref="A47:A50" si="5">+A45+0.1</f>
        <v>0.1</v>
      </c>
      <c r="B47" s="1" t="s">
        <v>137</v>
      </c>
      <c r="C47" s="28">
        <f>'Financial Statements'!B22/'Financial Statements'!F62</f>
        <v>1.9695887275023682</v>
      </c>
      <c r="D47" s="28">
        <f>'Financial Statements'!C22/'Financial Statements'!G62</f>
        <v>1.5007132667617689</v>
      </c>
      <c r="E47" s="28">
        <f>'Financial Statements'!D22/'Financial Statements'!H62</f>
        <v>0.87866358530127486</v>
      </c>
      <c r="F47" s="28"/>
    </row>
    <row r="48" spans="1:6" x14ac:dyDescent="0.25">
      <c r="A48" s="18">
        <f t="shared" si="5"/>
        <v>5.6999999999999975</v>
      </c>
      <c r="B48" s="1" t="s">
        <v>138</v>
      </c>
      <c r="C48" s="28">
        <f>C21/('Financial Statements'!B68+'Financial Statements'!B59)</f>
        <v>2.7852918178719652</v>
      </c>
      <c r="D48" s="28">
        <f>D21/('Financial Statements'!C68+'Financial Statements'!C59)</f>
        <v>2.2874457014100211</v>
      </c>
      <c r="E48" s="28">
        <f>E21/('Financial Statements'!D68+'Financial Statements'!D59)</f>
        <v>1.7500457300342671</v>
      </c>
      <c r="F48" s="32" t="s">
        <v>186</v>
      </c>
    </row>
    <row r="49" spans="1:6" x14ac:dyDescent="0.25">
      <c r="A49" s="18">
        <f t="shared" si="5"/>
        <v>0.2</v>
      </c>
      <c r="B49" s="1" t="s">
        <v>128</v>
      </c>
      <c r="C49" s="28">
        <f>'Financial Statements'!B22/'Financial Statements'!B48</f>
        <v>0.28292440929256851</v>
      </c>
      <c r="D49" s="28">
        <f>'Financial Statements'!C22/'Financial Statements'!C48</f>
        <v>0.26974205275183616</v>
      </c>
      <c r="E49" s="28">
        <f>'Financial Statements'!D22/'Financial Statements'!D48</f>
        <v>0.1772557180259843</v>
      </c>
      <c r="F49" s="28"/>
    </row>
    <row r="50" spans="1:6" x14ac:dyDescent="0.25">
      <c r="A50" s="18">
        <f t="shared" si="5"/>
        <v>5.7999999999999972</v>
      </c>
      <c r="B50" s="1" t="s">
        <v>139</v>
      </c>
      <c r="C50" s="30">
        <f>C51/'Financial Statements'!F22</f>
        <v>0.62798628047545846</v>
      </c>
      <c r="D50" s="30">
        <f>D51/'Financial Statements'!G22</f>
        <v>0.62932572629741268</v>
      </c>
      <c r="E50" s="30">
        <f>E51/'Financial Statements'!H22</f>
        <v>0.83226955057428686</v>
      </c>
      <c r="F50" s="30"/>
    </row>
    <row r="51" spans="1:6" x14ac:dyDescent="0.25">
      <c r="A51" s="18"/>
      <c r="B51" s="3" t="s">
        <v>140</v>
      </c>
      <c r="C51" s="30">
        <f>'Financial Statements'!F67+'Financial Statements'!B59-('Financial Statements'!B36)</f>
        <v>83738.830570000006</v>
      </c>
      <c r="D51" s="30">
        <f>'Financial Statements'!G67+'Financial Statements'!C59-('Financial Statements'!C36)</f>
        <v>84352.303050000002</v>
      </c>
      <c r="E51" s="30">
        <f>'Financial Statements'!H67+'Financial Statements'!D59-('Financial Statements'!D36)</f>
        <v>67388.865510000003</v>
      </c>
      <c r="F51" s="32" t="s">
        <v>187</v>
      </c>
    </row>
    <row r="54" spans="1:6" x14ac:dyDescent="0.25">
      <c r="F54" s="32" t="s">
        <v>188</v>
      </c>
    </row>
    <row r="55" spans="1:6" x14ac:dyDescent="0.25">
      <c r="F55" s="48" t="s">
        <v>204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2020-05-18T16:32:37Z</dcterms:created>
  <dcterms:modified xsi:type="dcterms:W3CDTF">2024-01-14T14:07:32Z</dcterms:modified>
</cp:coreProperties>
</file>