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54BDED18-E019-46A8-9EB4-92234A510E13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3" l="1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E57" i="3"/>
  <c r="C57" i="3"/>
  <c r="D57" i="3"/>
  <c r="E81" i="3"/>
  <c r="D81" i="3"/>
  <c r="C81" i="3"/>
  <c r="E80" i="3"/>
  <c r="D80" i="3"/>
  <c r="C80" i="3"/>
  <c r="E79" i="3"/>
  <c r="D79" i="3"/>
  <c r="C79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6" i="3"/>
  <c r="D66" i="3"/>
  <c r="C66" i="3"/>
  <c r="E65" i="3"/>
  <c r="D65" i="3"/>
  <c r="C65" i="3"/>
  <c r="E56" i="3"/>
  <c r="E55" i="3"/>
  <c r="E54" i="3"/>
  <c r="D56" i="3" l="1"/>
  <c r="C56" i="3"/>
  <c r="D55" i="3"/>
  <c r="C55" i="3"/>
  <c r="D54" i="3"/>
  <c r="C54" i="3"/>
  <c r="C51" i="3"/>
  <c r="D51" i="3"/>
  <c r="E51" i="3"/>
  <c r="E49" i="3"/>
  <c r="D49" i="3"/>
  <c r="E47" i="3"/>
  <c r="D47" i="3"/>
  <c r="C47" i="3"/>
  <c r="J42" i="3"/>
  <c r="E45" i="3"/>
  <c r="D45" i="3"/>
  <c r="C45" i="3"/>
  <c r="C46" i="3" s="1"/>
  <c r="E44" i="3"/>
  <c r="D44" i="3"/>
  <c r="C44" i="3"/>
  <c r="L43" i="3"/>
  <c r="K43" i="3"/>
  <c r="J43" i="3"/>
  <c r="L42" i="3"/>
  <c r="K42" i="3"/>
  <c r="E41" i="3"/>
  <c r="D41" i="3"/>
  <c r="C41" i="3"/>
  <c r="E43" i="3"/>
  <c r="D43" i="3"/>
  <c r="C43" i="3"/>
  <c r="E37" i="3"/>
  <c r="D37" i="3"/>
  <c r="C37" i="3"/>
  <c r="C49" i="3" s="1"/>
  <c r="E36" i="3"/>
  <c r="D36" i="3"/>
  <c r="C36" i="3"/>
  <c r="E35" i="3"/>
  <c r="D35" i="3"/>
  <c r="C35" i="3"/>
  <c r="E34" i="3"/>
  <c r="D34" i="3"/>
  <c r="C34" i="3"/>
  <c r="E29" i="3"/>
  <c r="E42" i="3" l="1"/>
  <c r="C42" i="3"/>
  <c r="D40" i="3"/>
  <c r="D46" i="3"/>
  <c r="E46" i="3"/>
  <c r="E40" i="3"/>
  <c r="C40" i="3"/>
  <c r="D42" i="3"/>
  <c r="E31" i="3"/>
  <c r="E30" i="3" s="1"/>
  <c r="D31" i="3"/>
  <c r="D30" i="3" s="1"/>
  <c r="C31" i="3"/>
  <c r="C30" i="3" s="1"/>
  <c r="D29" i="3"/>
  <c r="C29" i="3"/>
  <c r="E26" i="3"/>
  <c r="D26" i="3"/>
  <c r="C26" i="3"/>
  <c r="E25" i="3"/>
  <c r="D25" i="3"/>
  <c r="C25" i="3"/>
  <c r="E22" i="3"/>
  <c r="D22" i="3"/>
  <c r="C22" i="3"/>
  <c r="E21" i="3"/>
  <c r="E48" i="3" s="1"/>
  <c r="D21" i="3"/>
  <c r="D48" i="3" s="1"/>
  <c r="C21" i="3"/>
  <c r="C48" i="3" s="1"/>
  <c r="E19" i="3"/>
  <c r="E50" i="3" s="1"/>
  <c r="D19" i="3"/>
  <c r="D50" i="3" s="1"/>
  <c r="C19" i="3"/>
  <c r="C50" i="3" s="1"/>
  <c r="E17" i="3"/>
  <c r="D17" i="3"/>
  <c r="C17" i="3"/>
  <c r="E14" i="3"/>
  <c r="E13" i="3" s="1"/>
  <c r="D14" i="3"/>
  <c r="D27" i="3" s="1"/>
  <c r="C14" i="3"/>
  <c r="C27" i="3" s="1"/>
  <c r="E20" i="3" l="1"/>
  <c r="D28" i="3"/>
  <c r="E28" i="3"/>
  <c r="E27" i="3"/>
  <c r="C28" i="3"/>
  <c r="C18" i="3"/>
  <c r="D18" i="3"/>
  <c r="C13" i="3"/>
  <c r="E18" i="3"/>
  <c r="D13" i="3"/>
  <c r="C20" i="3"/>
  <c r="D20" i="3"/>
  <c r="L5" i="3"/>
  <c r="E9" i="3" s="1"/>
  <c r="K5" i="3"/>
  <c r="D9" i="3" s="1"/>
  <c r="J5" i="3"/>
  <c r="C9" i="3" s="1"/>
  <c r="E11" i="3"/>
  <c r="D11" i="3"/>
  <c r="C11" i="3"/>
  <c r="E10" i="3"/>
  <c r="D10" i="3"/>
  <c r="C10" i="3"/>
  <c r="E8" i="3"/>
  <c r="D8" i="3"/>
  <c r="C8" i="3"/>
  <c r="E7" i="3"/>
  <c r="D7" i="3"/>
  <c r="C7" i="3"/>
  <c r="E6" i="3"/>
  <c r="D6" i="3"/>
  <c r="C6" i="3"/>
  <c r="E5" i="3"/>
  <c r="D5" i="3"/>
  <c r="C5" i="3"/>
  <c r="C12" i="3" l="1"/>
  <c r="D12" i="3"/>
  <c r="E12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C8" i="1"/>
  <c r="C13" i="1" s="1"/>
  <c r="B8" i="1"/>
  <c r="E3" i="3"/>
  <c r="D3" i="3"/>
  <c r="C3" i="3"/>
  <c r="D33" i="1"/>
  <c r="D73" i="1" s="1"/>
  <c r="C33" i="1"/>
  <c r="C73" i="1" s="1"/>
  <c r="B33" i="1"/>
  <c r="B73" i="1" s="1"/>
  <c r="C62" i="1" l="1"/>
  <c r="B13" i="1"/>
  <c r="D18" i="1"/>
  <c r="D20" i="1" s="1"/>
  <c r="D22" i="1" s="1"/>
  <c r="D76" i="1" s="1"/>
  <c r="D91" i="1" s="1"/>
  <c r="D109" i="1" s="1"/>
  <c r="C18" i="1"/>
  <c r="C20" i="1" s="1"/>
  <c r="C22" i="1" s="1"/>
  <c r="C76" i="1" s="1"/>
  <c r="C91" i="1" s="1"/>
  <c r="C109" i="1" s="1"/>
  <c r="B48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<sst xmlns="http://schemas.openxmlformats.org/spreadsheetml/2006/main" count="210" uniqueCount="173">
  <si>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</si>
  <si>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</si>
  <si>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</si>
  <si>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</si>
  <si>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</si>
  <si>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</si>
  <si>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</si>
  <si>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</si>
  <si>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</si>
  <si>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</si>
  <si>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</si>
  <si>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</si>
  <si>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</si>
  <si>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</si>
  <si>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</si>
  <si>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</si>
  <si>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</si>
  <si>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</si>
  <si>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</si>
  <si>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</si>
  <si>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</si>
  <si>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</si>
  <si>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</si>
  <si>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</si>
  <si>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</si>
  <si>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</si>
  <si>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</si>
  <si>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</si>
  <si>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</si>
  <si>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</si>
  <si>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</si>
  <si>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</si>
  <si>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</si>
  <si>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</si>
  <si>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</si>
  <si>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</si>
  <si>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</si>
  <si>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</si>
  <si>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</si>
  <si>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</si>
  <si>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</si>
  <si>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</si>
  <si>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</si>
  <si>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</si>
  <si>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</si>
  <si>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</si>
  <si>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</si>
  <si>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</si>
  <si>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</si>
  <si>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</si>
  <si>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</si>
  <si>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</si>
  <si>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</si>
  <si>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</si>
  <si>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</si>
  <si>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</si>
  <si>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</si>
  <si>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</si>
  <si>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</si>
  <si>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</si>
  <si>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</si>
  <si>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</si>
  <si>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</si>
  <si>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</si>
  <si>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</si>
  <si>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</si>
  <si>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</si>
  <si>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</si>
  <si>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</si>
  <si>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</si>
  <si>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</si>
  <si>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</si>
  <si>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</si>
  <si>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</si>
  <si>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</si>
  <si>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</si>
  <si>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</si>
  <si>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</si>
  <si>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</si>
  <si>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</si>
  <si>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</si>
  <si>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</si>
  <si>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</si>
  <si>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</si>
  <si>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</si>
  <si>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</si>
  <si>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</si>
  <si>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</si>
  <si>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</si>
  <si>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</si>
  <si>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</si>
  <si>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</si>
  <si>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</si>
  <si>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</si>
  <si>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</si>
  <si>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</si>
  <si>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</si>
  <si>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</si>
  <si>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</si>
  <si>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</si>
  <si>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</si>
  <si>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</si>
  <si>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</si>
  <si>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</si>
  <si>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</si>
  <si>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</si>
  <si>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</si>
  <si>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</si>
  <si>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</si>
  <si>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</si>
  <si>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</si>
  <si>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</si>
  <si>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</si>
  <si>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</si>
  <si>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</si>
  <si>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</si>
  <si>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</si>
  <si>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</si>
  <si>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</si>
  <si>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</si>
  <si>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</si>
  <si>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</si>
  <si>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</si>
  <si>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</si>
  <si>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</si>
  <si>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</si>
  <si>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</si>
  <si>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</si>
  <si>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</si>
  <si>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</si>
  <si>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</si>
  <si>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</si>
  <si>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</si>
  <si>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</si>
  <si>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</si>
  <si>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</si>
  <si>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</si>
  <si>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</si>
  <si>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</si>
  <si>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</si>
  <si>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</si>
  <si>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</si>
  <si>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</si>
  <si>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</si>
  <si>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</si>
  <si>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</si>
  <si>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</si>
  <si>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</si>
  <si>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</si>
  <si>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</si>
  <si>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Net sales</t>
  </si>
  <si>
    <t>Operating expenses</t>
  </si>
  <si>
    <t>R&amp;D</t>
  </si>
  <si>
    <t>SG&amp;A</t>
  </si>
  <si>
    <t>As a % of net sales</t>
  </si>
  <si>
    <t>Net Profit</t>
  </si>
  <si>
    <t>Tax &amp; Capex</t>
  </si>
  <si>
    <t>Sales growth rate</t>
  </si>
  <si>
    <t>Average inventory</t>
  </si>
  <si>
    <t>Market value per share</t>
  </si>
  <si>
    <t>Total dividend payout</t>
  </si>
  <si>
    <t>Current assets</t>
  </si>
  <si>
    <t>Non current assets</t>
  </si>
  <si>
    <t>Non current liabilities</t>
  </si>
  <si>
    <t>Current Liabilities</t>
  </si>
  <si>
    <t>For the numerator Include only term debt under non-current liabilities, since differed revenue and other liabilities are not actual debt and is not an actual form of capital</t>
  </si>
  <si>
    <t>Term debt/(Term debt + Total shareholder equity)</t>
  </si>
  <si>
    <t>EBIT/ (Interest + Debt repayment net of issuance)</t>
  </si>
  <si>
    <t>Link dividend paid with - sign to remove negative value in cash flow</t>
  </si>
  <si>
    <t>Capital employed (dominator) = Total shareholder equity + Term debt under long term liabilities</t>
  </si>
  <si>
    <t>Market Cap + Total Debt - (Cash + Cash Equivalents), where Market Cap= Share price*Diluted number of shares/1000</t>
  </si>
  <si>
    <t xml:space="preserve"> Capex can be found in cash flow statement as purchase of property plant and equipment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</si>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</sst>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10" fontId="0" fillId="0" borderId="0" xfId="0" quotePrefix="1" applyNumberFormat="1"/>
    <xf numFmtId="9" fontId="0" fillId="0" borderId="0" xfId="0" applyNumberFormat="1"/>
    <xf numFmtId="165" fontId="0" fillId="0" borderId="0" xfId="0" applyNumberFormat="1"/>
    <xf numFmtId="9" fontId="0" fillId="0" borderId="0" xfId="3" applyFont="1"/>
    <xf numFmtId="9" fontId="0" fillId="0" borderId="4" xfId="0" applyNumberFormat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  <xf numFmtId="0" fontId="9" fillId="0" borderId="0" xfId="0" applyFont="1"/>
    <xf numFmtId="0" fontId="8" fillId="0" borderId="5" xfId="0" applyFont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5" workbookViewId="0">
      <selection activeCell="A4" sqref="A4"/>
    </sheetView>
  </sheetViews>
  <sheetFormatPr defaultRowHeight="14.4" x14ac:dyDescent="0.3"/>
  <cols>
    <col min="1" max="1" width="104.5546875" customWidth="1"/>
  </cols>
  <sheetData>
    <row r="1" spans="1:4" ht="23.4" x14ac:dyDescent="0.45">
      <c r="A1" s="5" t="s">
        <v>0</v>
      </c>
    </row>
    <row r="3" spans="1:4" x14ac:dyDescent="0.3">
      <c r="A3" s="7" t="s">
        <v>1</v>
      </c>
    </row>
    <row r="4" spans="1:4" x14ac:dyDescent="0.3">
      <c r="A4" s="16" t="s">
        <v>2</v>
      </c>
    </row>
    <row r="5" spans="1:4" x14ac:dyDescent="0.3">
      <c r="A5" s="7" t="s">
        <v>3</v>
      </c>
    </row>
    <row r="6" spans="1:4" x14ac:dyDescent="0.3">
      <c r="A6" s="1" t="s">
        <v>4</v>
      </c>
    </row>
    <row r="7" spans="1:4" x14ac:dyDescent="0.3">
      <c r="A7" s="1"/>
    </row>
    <row r="8" spans="1:4" x14ac:dyDescent="0.3">
      <c r="A8" s="17" t="s">
        <v>5</v>
      </c>
    </row>
    <row r="9" spans="1:4" x14ac:dyDescent="0.3">
      <c r="A9" s="1" t="s">
        <v>6</v>
      </c>
      <c r="B9" s="23"/>
      <c r="C9" s="23"/>
      <c r="D9" s="23"/>
    </row>
    <row r="10" spans="1:4" x14ac:dyDescent="0.3">
      <c r="A10" s="1" t="s">
        <v>7</v>
      </c>
      <c r="B10" s="23"/>
      <c r="C10" s="23"/>
      <c r="D10" s="23"/>
    </row>
    <row r="11" spans="1:4" x14ac:dyDescent="0.3">
      <c r="A11" s="1" t="s">
        <v>8</v>
      </c>
    </row>
    <row r="12" spans="1:4" x14ac:dyDescent="0.3">
      <c r="A12" s="1" t="s">
        <v>9</v>
      </c>
    </row>
    <row r="13" spans="1:4" x14ac:dyDescent="0.3">
      <c r="A13" s="1"/>
    </row>
    <row r="14" spans="1:4" x14ac:dyDescent="0.3">
      <c r="A14" s="17" t="s">
        <v>10</v>
      </c>
    </row>
    <row r="15" spans="1:4" x14ac:dyDescent="0.3">
      <c r="A15" s="1" t="s">
        <v>11</v>
      </c>
    </row>
    <row r="16" spans="1:4" x14ac:dyDescent="0.3">
      <c r="A16" s="1" t="s">
        <v>7</v>
      </c>
    </row>
    <row r="17" spans="1:1" x14ac:dyDescent="0.3">
      <c r="A17" s="1" t="s">
        <v>8</v>
      </c>
    </row>
    <row r="18" spans="1:1" x14ac:dyDescent="0.3">
      <c r="A18" s="1" t="s">
        <v>12</v>
      </c>
    </row>
    <row r="19" spans="1:1" x14ac:dyDescent="0.3">
      <c r="A19" s="1" t="s">
        <v>13</v>
      </c>
    </row>
    <row r="20" spans="1:1" x14ac:dyDescent="0.3">
      <c r="A20" s="1"/>
    </row>
    <row r="21" spans="1:1" x14ac:dyDescent="0.3">
      <c r="A21" s="17" t="s">
        <v>14</v>
      </c>
    </row>
    <row r="22" spans="1:1" x14ac:dyDescent="0.3">
      <c r="A22" s="1" t="s">
        <v>15</v>
      </c>
    </row>
    <row r="23" spans="1:1" x14ac:dyDescent="0.3">
      <c r="A23" s="1" t="s">
        <v>16</v>
      </c>
    </row>
    <row r="24" spans="1:1" x14ac:dyDescent="0.3">
      <c r="A24" s="1" t="s">
        <v>17</v>
      </c>
    </row>
    <row r="25" spans="1:1" x14ac:dyDescent="0.3">
      <c r="A25" s="1"/>
    </row>
    <row r="26" spans="1:1" x14ac:dyDescent="0.3">
      <c r="A26" s="17" t="s">
        <v>18</v>
      </c>
    </row>
    <row r="27" spans="1:1" x14ac:dyDescent="0.3">
      <c r="A27" s="16" t="s">
        <v>19</v>
      </c>
    </row>
    <row r="29" spans="1:1" x14ac:dyDescent="0.3">
      <c r="A29" s="7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3" workbookViewId="0">
      <selection activeCell="B13" sqref="B13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0" t="s">
        <v>23</v>
      </c>
      <c r="B2" s="30"/>
      <c r="C2" s="30"/>
      <c r="D2" s="30"/>
    </row>
    <row r="3" spans="1:10" x14ac:dyDescent="0.3">
      <c r="B3" s="29" t="s">
        <v>24</v>
      </c>
      <c r="C3" s="29"/>
      <c r="D3" s="29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25</v>
      </c>
    </row>
    <row r="6" spans="1:10" x14ac:dyDescent="0.3">
      <c r="A6" s="1" t="s">
        <v>26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27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28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29</v>
      </c>
      <c r="B9" s="12"/>
      <c r="C9" s="12"/>
      <c r="D9" s="12"/>
    </row>
    <row r="10" spans="1:10" x14ac:dyDescent="0.3">
      <c r="A10" s="1" t="s">
        <v>26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27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30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31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32</v>
      </c>
      <c r="B14" s="12"/>
      <c r="C14" s="12"/>
      <c r="D14" s="12"/>
    </row>
    <row r="15" spans="1:10" x14ac:dyDescent="0.3">
      <c r="A15" s="1" t="s">
        <v>33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34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35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12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36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37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38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39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40</v>
      </c>
    </row>
    <row r="24" spans="1:4" x14ac:dyDescent="0.3">
      <c r="A24" s="1" t="s">
        <v>41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42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43</v>
      </c>
    </row>
    <row r="27" spans="1:4" x14ac:dyDescent="0.3">
      <c r="A27" s="1" t="s">
        <v>41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42</v>
      </c>
      <c r="B28" s="2">
        <v>16325819</v>
      </c>
      <c r="C28" s="2">
        <v>16864919</v>
      </c>
      <c r="D28" s="2">
        <v>17528214</v>
      </c>
    </row>
    <row r="31" spans="1:4" x14ac:dyDescent="0.3">
      <c r="A31" s="30" t="s">
        <v>44</v>
      </c>
      <c r="B31" s="30"/>
      <c r="C31" s="30"/>
      <c r="D31" s="30"/>
    </row>
    <row r="32" spans="1:4" x14ac:dyDescent="0.3">
      <c r="B32" s="29" t="s">
        <v>45</v>
      </c>
      <c r="C32" s="29"/>
      <c r="D32" s="29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46</v>
      </c>
    </row>
    <row r="36" spans="1:4" x14ac:dyDescent="0.3">
      <c r="A36" s="1" t="s">
        <v>47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48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49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50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51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52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53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54</v>
      </c>
      <c r="B43" s="12"/>
      <c r="C43" s="12"/>
      <c r="D43" s="12"/>
    </row>
    <row r="44" spans="1:4" x14ac:dyDescent="0.3">
      <c r="A44" s="1" t="s">
        <v>48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55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56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57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58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59</v>
      </c>
    </row>
    <row r="51" spans="1:4" x14ac:dyDescent="0.3">
      <c r="A51" s="1" t="s">
        <v>60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61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62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63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64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65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66</v>
      </c>
      <c r="B57" s="12"/>
      <c r="C57" s="12"/>
      <c r="D57" s="12"/>
    </row>
    <row r="58" spans="1:4" x14ac:dyDescent="0.3">
      <c r="A58" s="1" t="s">
        <v>62</v>
      </c>
      <c r="B58" s="12"/>
      <c r="C58" s="12"/>
      <c r="D58" s="12"/>
    </row>
    <row r="59" spans="1:4" x14ac:dyDescent="0.3">
      <c r="A59" s="1" t="s">
        <v>64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67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68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69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70</v>
      </c>
      <c r="B64" s="12"/>
      <c r="C64" s="12"/>
      <c r="D64" s="12"/>
    </row>
    <row r="65" spans="1:4" x14ac:dyDescent="0.3">
      <c r="A65" s="1" t="s">
        <v>71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72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73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74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75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0" t="s">
        <v>76</v>
      </c>
      <c r="B71" s="30"/>
      <c r="C71" s="30"/>
      <c r="D71" s="30"/>
    </row>
    <row r="72" spans="1:4" x14ac:dyDescent="0.3">
      <c r="B72" s="29" t="s">
        <v>24</v>
      </c>
      <c r="C72" s="29"/>
      <c r="D72" s="29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77</v>
      </c>
      <c r="B75" s="15"/>
      <c r="C75" s="15"/>
      <c r="D75" s="15"/>
    </row>
    <row r="76" spans="1:4" x14ac:dyDescent="0.3">
      <c r="A76" t="s">
        <v>78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39</v>
      </c>
      <c r="B77" s="15"/>
      <c r="C77" s="15"/>
      <c r="D77" s="15"/>
    </row>
    <row r="78" spans="1:4" x14ac:dyDescent="0.3">
      <c r="A78" s="1" t="s">
        <v>79</v>
      </c>
      <c r="B78" s="12"/>
      <c r="C78" s="12"/>
      <c r="D78" s="12"/>
    </row>
    <row r="79" spans="1:4" x14ac:dyDescent="0.3">
      <c r="A79" s="3" t="s">
        <v>80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81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82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83</v>
      </c>
      <c r="B82" s="12">
        <v>111</v>
      </c>
      <c r="C82" s="12">
        <v>-147</v>
      </c>
      <c r="D82" s="12">
        <v>-97</v>
      </c>
    </row>
    <row r="83" spans="1:4" x14ac:dyDescent="0.3">
      <c r="A83" t="s">
        <v>84</v>
      </c>
      <c r="B83" s="12"/>
      <c r="C83" s="12"/>
      <c r="D83" s="12"/>
    </row>
    <row r="84" spans="1:4" x14ac:dyDescent="0.3">
      <c r="A84" s="1" t="s">
        <v>49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50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51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85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60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62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86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87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88</v>
      </c>
      <c r="B92" s="12"/>
      <c r="C92" s="12"/>
      <c r="D92" s="12"/>
    </row>
    <row r="93" spans="1:4" x14ac:dyDescent="0.3">
      <c r="A93" s="1" t="s">
        <v>89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90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91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92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93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83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94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95</v>
      </c>
      <c r="B100" s="12"/>
      <c r="C100" s="12"/>
      <c r="D100" s="12"/>
    </row>
    <row r="101" spans="1:4" x14ac:dyDescent="0.3">
      <c r="A101" s="1" t="s">
        <v>96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97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98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99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100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101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83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102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103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104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105</v>
      </c>
      <c r="B112" s="12"/>
      <c r="C112" s="12"/>
      <c r="D112" s="12"/>
    </row>
    <row r="113" spans="1:4" x14ac:dyDescent="0.3">
      <c r="A113" t="s">
        <v>106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107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1"/>
  <sheetViews>
    <sheetView tabSelected="1" workbookViewId="0">
      <selection activeCell="F2" sqref="F2"/>
    </sheetView>
  </sheetViews>
  <sheetFormatPr defaultRowHeight="14.4" x14ac:dyDescent="0.3"/>
  <cols>
    <col min="1" max="1" width="4.6640625" customWidth="1"/>
    <col min="2" max="2" width="44.88671875" customWidth="1"/>
    <col min="3" max="3" width="11" bestFit="1" customWidth="1"/>
    <col min="4" max="4" width="13.109375" bestFit="1" customWidth="1"/>
    <col min="5" max="5" width="11" bestFit="1" customWidth="1"/>
    <col min="6" max="6" width="30.44140625" customWidth="1"/>
    <col min="9" max="9" width="19" customWidth="1"/>
    <col min="10" max="12" width="12" bestFit="1" customWidth="1"/>
  </cols>
  <sheetData>
    <row r="1" spans="1:12" ht="60" customHeight="1" x14ac:dyDescent="0.5">
      <c r="A1" s="6"/>
      <c r="B1" s="20" t="s">
        <v>21</v>
      </c>
      <c r="C1" s="19"/>
      <c r="D1" s="19"/>
      <c r="E1" s="19"/>
      <c r="F1" s="19" t="s">
        <v>172</v>
      </c>
      <c r="G1" s="19"/>
      <c r="H1" s="19"/>
      <c r="I1" s="19"/>
      <c r="J1" s="19"/>
    </row>
    <row r="2" spans="1:12" x14ac:dyDescent="0.3">
      <c r="C2" s="29" t="s">
        <v>24</v>
      </c>
      <c r="D2" s="29"/>
      <c r="E2" s="29"/>
    </row>
    <row r="3" spans="1:12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2" x14ac:dyDescent="0.3">
      <c r="A4" s="18">
        <v>1</v>
      </c>
      <c r="B4" s="7" t="s">
        <v>108</v>
      </c>
    </row>
    <row r="5" spans="1:12" x14ac:dyDescent="0.3">
      <c r="A5" s="18">
        <f>+A4+0.1</f>
        <v>1.1000000000000001</v>
      </c>
      <c r="B5" s="1" t="s">
        <v>109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  <c r="I5" t="s">
        <v>158</v>
      </c>
      <c r="J5">
        <f>('Financial Statements'!B81+'Financial Statements'!B39)/2</f>
        <v>2920.5</v>
      </c>
      <c r="K5">
        <f>('Financial Statements'!C39+'Financial Statements'!C85)/2</f>
        <v>1969</v>
      </c>
      <c r="L5">
        <f>('Financial Statements'!D39+'Financial Statements'!D85)/2</f>
        <v>1967</v>
      </c>
    </row>
    <row r="6" spans="1:12" x14ac:dyDescent="0.3">
      <c r="A6" s="18">
        <f t="shared" ref="A6:A13" si="0">+A5+0.1</f>
        <v>1.2000000000000002</v>
      </c>
      <c r="B6" s="1" t="s">
        <v>110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Statements'!D40)/'Financial Statements'!D56</f>
        <v>1.1612646121147716</v>
      </c>
    </row>
    <row r="7" spans="1:12" x14ac:dyDescent="0.3">
      <c r="A7" s="18">
        <f t="shared" si="0"/>
        <v>1.3000000000000003</v>
      </c>
      <c r="B7" s="1" t="s">
        <v>111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2" x14ac:dyDescent="0.3">
      <c r="A8" s="18">
        <f t="shared" si="0"/>
        <v>1.4000000000000004</v>
      </c>
      <c r="B8" s="1" t="s">
        <v>112</v>
      </c>
      <c r="C8">
        <f>('Financial Statements'!B42/(('Financial Statements'!B17-'Financial Statements'!B79)/365))</f>
        <v>1228.1708953554833</v>
      </c>
      <c r="D8">
        <f>('Financial Statements'!C42/(('Financial Statements'!C17-'Financial Statements'!C79)/365))</f>
        <v>1509.5279575499187</v>
      </c>
      <c r="E8">
        <f>('Financial Statements'!D42/(('Financial Statements'!D17-'Financial Statements'!D79)/365))</f>
        <v>1899.7263870780819</v>
      </c>
    </row>
    <row r="9" spans="1:12" x14ac:dyDescent="0.3">
      <c r="A9" s="18">
        <f t="shared" si="0"/>
        <v>1.5000000000000004</v>
      </c>
      <c r="B9" s="1" t="s">
        <v>113</v>
      </c>
      <c r="C9">
        <f>(J5/'Financial Statements'!B12)*365</f>
        <v>4.7685152049242667</v>
      </c>
      <c r="D9">
        <f>(K5/'Financial Statements'!C12)*365</f>
        <v>3.3744089848390235</v>
      </c>
      <c r="E9">
        <f>(L5/'Financial Statements'!D12)*365</f>
        <v>4.2342488455345926</v>
      </c>
    </row>
    <row r="10" spans="1:12" x14ac:dyDescent="0.3">
      <c r="A10" s="18">
        <f t="shared" si="0"/>
        <v>1.6000000000000005</v>
      </c>
      <c r="B10" s="1" t="s">
        <v>114</v>
      </c>
      <c r="C10">
        <f>('Financial Statements'!B51*365)/'Financial Statements'!B12</f>
        <v>104.68527730310539</v>
      </c>
      <c r="D10">
        <f>('Financial Statements'!C51*365)/'Financial Statements'!C12</f>
        <v>93.85107122231561</v>
      </c>
      <c r="E10">
        <f>('Financial Statements'!D51*366)/'Financial Statements'!D12</f>
        <v>91.297636810785633</v>
      </c>
    </row>
    <row r="11" spans="1:12" x14ac:dyDescent="0.3">
      <c r="A11" s="18">
        <f t="shared" si="0"/>
        <v>1.7000000000000006</v>
      </c>
      <c r="B11" s="1" t="s">
        <v>115</v>
      </c>
      <c r="C11">
        <f>('Financial Statements'!B38*365)/'Financial Statements'!B8</f>
        <v>26.087825363656652</v>
      </c>
      <c r="D11">
        <f>('Financial Statements'!C38*365)/'Financial Statements'!C8</f>
        <v>26.219311841713207</v>
      </c>
      <c r="E11">
        <f>('Financial Statements'!D38*366)/'Financial Statements'!D8</f>
        <v>21.49215889842085</v>
      </c>
    </row>
    <row r="12" spans="1:12" x14ac:dyDescent="0.3">
      <c r="A12" s="18">
        <f t="shared" si="0"/>
        <v>1.8000000000000007</v>
      </c>
      <c r="B12" s="1" t="s">
        <v>116</v>
      </c>
      <c r="C12">
        <f>C11+C9-C10</f>
        <v>-73.828936734524476</v>
      </c>
      <c r="D12">
        <f>D11+D9-D10</f>
        <v>-64.257350395763382</v>
      </c>
      <c r="E12">
        <f>E11+E9-E10</f>
        <v>-65.571229066830199</v>
      </c>
    </row>
    <row r="13" spans="1:12" x14ac:dyDescent="0.3">
      <c r="A13" s="18">
        <f t="shared" si="0"/>
        <v>1.9000000000000008</v>
      </c>
      <c r="B13" s="1" t="s">
        <v>117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'List of Ratios'!E14/'Financial Statements'!D8</f>
        <v>0.13959528623208203</v>
      </c>
    </row>
    <row r="14" spans="1:12" x14ac:dyDescent="0.3">
      <c r="A14" s="18"/>
      <c r="B14" s="3" t="s">
        <v>118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2" x14ac:dyDescent="0.3">
      <c r="A15" s="18"/>
    </row>
    <row r="16" spans="1:12" x14ac:dyDescent="0.3">
      <c r="A16" s="18">
        <f>+A4+1</f>
        <v>2</v>
      </c>
      <c r="B16" s="17" t="s">
        <v>119</v>
      </c>
    </row>
    <row r="17" spans="1:7" x14ac:dyDescent="0.3">
      <c r="A17" s="18">
        <f>+A16+0.1</f>
        <v>2.1</v>
      </c>
      <c r="B17" s="1" t="s">
        <v>31</v>
      </c>
      <c r="C17" s="25">
        <f>('Financial Statements'!B8-'Financial Statements'!B12)/'Financial Statements'!B8</f>
        <v>0.43309630561360085</v>
      </c>
      <c r="D17" s="25">
        <f>('Financial Statements'!C8-'Financial Statements'!C12)/'Financial Statements'!C8</f>
        <v>0.41779359625167778</v>
      </c>
      <c r="E17" s="25">
        <f>('Financial Statements'!D8-'Financial Statements'!D12)/'Financial Statements'!D8</f>
        <v>0.38233247727810865</v>
      </c>
    </row>
    <row r="18" spans="1:7" x14ac:dyDescent="0.3">
      <c r="A18" s="18">
        <f>+A17+0.1</f>
        <v>2.2000000000000002</v>
      </c>
      <c r="B18" s="1" t="s">
        <v>120</v>
      </c>
      <c r="C18" s="25">
        <f>C19/'Financial Statements'!B8</f>
        <v>0.3310467428130896</v>
      </c>
      <c r="D18" s="25">
        <f>D19/'Financial Statements'!C8</f>
        <v>0.32866979938056462</v>
      </c>
      <c r="E18" s="25">
        <f>E19/'Financial Statements'!D8</f>
        <v>0.2817478097736007</v>
      </c>
    </row>
    <row r="19" spans="1:7" x14ac:dyDescent="0.3">
      <c r="A19" s="18"/>
      <c r="B19" s="3" t="s">
        <v>121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Statements'!D79+'Financial Statements'!D18</f>
        <v>77344</v>
      </c>
    </row>
    <row r="20" spans="1:7" x14ac:dyDescent="0.3">
      <c r="A20" s="18">
        <f>+A18+0.1</f>
        <v>2.3000000000000003</v>
      </c>
      <c r="B20" s="1" t="s">
        <v>122</v>
      </c>
      <c r="C20" s="23">
        <f>C21/'Financial Statements'!B8</f>
        <v>0.30288744395528594</v>
      </c>
      <c r="D20" s="24">
        <f>D21/'Financial Statements'!C8</f>
        <v>0.29782377527561593</v>
      </c>
      <c r="E20" s="23">
        <f>E21/'Financial Statements'!D8</f>
        <v>0.24147314354406862</v>
      </c>
    </row>
    <row r="21" spans="1:7" x14ac:dyDescent="0.3">
      <c r="A21" s="18"/>
      <c r="B21" s="3" t="s">
        <v>123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7" x14ac:dyDescent="0.3">
      <c r="A22" s="18">
        <f>+A20+0.1</f>
        <v>2.4000000000000004</v>
      </c>
      <c r="B22" s="1" t="s">
        <v>124</v>
      </c>
      <c r="C22" s="23">
        <f>'Financial Statements'!B76/'Financial Statements'!B8</f>
        <v>0.25309640705199732</v>
      </c>
      <c r="D22" s="24">
        <f>'Financial Statements'!C76/'Financial Statements'!C8</f>
        <v>0.25881793355694238</v>
      </c>
      <c r="E22" s="23">
        <f>'Financial Statements'!D76/'Financial Statements'!D8</f>
        <v>0.20913611278072236</v>
      </c>
    </row>
    <row r="23" spans="1:7" x14ac:dyDescent="0.3">
      <c r="A23" s="18"/>
    </row>
    <row r="24" spans="1:7" x14ac:dyDescent="0.3">
      <c r="A24" s="18">
        <f>+A16+1</f>
        <v>3</v>
      </c>
      <c r="B24" s="7" t="s">
        <v>125</v>
      </c>
    </row>
    <row r="25" spans="1:7" x14ac:dyDescent="0.3">
      <c r="A25" s="18">
        <f>+A24+0.1</f>
        <v>3.1</v>
      </c>
      <c r="B25" s="1" t="s">
        <v>126</v>
      </c>
      <c r="C25" s="31">
        <f>'Financial Statements'!B62/'Financial Statements'!B68</f>
        <v>5.9615369434796337</v>
      </c>
      <c r="D25" s="31">
        <f>'Financial Statements'!C62/'Financial Statements'!C68</f>
        <v>4.5635124425423994</v>
      </c>
      <c r="E25" s="31">
        <f>'Financial Statements'!D62/'Financial Statements'!D68</f>
        <v>3.9570394404566951</v>
      </c>
      <c r="F25" s="32" t="s">
        <v>165</v>
      </c>
    </row>
    <row r="26" spans="1:7" x14ac:dyDescent="0.3">
      <c r="A26" s="18">
        <f t="shared" ref="A26:A30" si="1">+A25+0.1</f>
        <v>3.2</v>
      </c>
      <c r="B26" s="1" t="s">
        <v>127</v>
      </c>
      <c r="C26" s="31">
        <f>'Financial Statements'!B62/'Financial Statements'!B48</f>
        <v>0.85635355983614692</v>
      </c>
      <c r="D26" s="31">
        <f>'Financial Statements'!C62/'Financial Statements'!C48</f>
        <v>0.82025743443057308</v>
      </c>
      <c r="E26" s="31">
        <f>'Financial Statements'!D62/'Financial Statements'!D48</f>
        <v>0.79826668477992391</v>
      </c>
      <c r="F26" s="32" t="s">
        <v>165</v>
      </c>
    </row>
    <row r="27" spans="1:7" x14ac:dyDescent="0.3">
      <c r="A27" s="18">
        <f t="shared" si="1"/>
        <v>3.3000000000000003</v>
      </c>
      <c r="B27" s="1" t="s">
        <v>128</v>
      </c>
      <c r="C27" s="31">
        <f>'Financial Statements'!B61/'List of Ratios'!C14</f>
        <v>-7.9722775475049792</v>
      </c>
      <c r="D27" s="31">
        <f>'Financial Statements'!C61/'List of Ratios'!D14</f>
        <v>17.363014430785675</v>
      </c>
      <c r="E27" s="31">
        <f>'Financial Statements'!D61/'List of Ratios'!E14</f>
        <v>3.9966858902429476</v>
      </c>
      <c r="F27" s="32" t="s">
        <v>166</v>
      </c>
    </row>
    <row r="28" spans="1:7" x14ac:dyDescent="0.3">
      <c r="A28" s="18">
        <f t="shared" si="1"/>
        <v>3.4000000000000004</v>
      </c>
      <c r="B28" s="1" t="s">
        <v>129</v>
      </c>
      <c r="C28" s="31">
        <f>C21/'Financial Statements'!B114</f>
        <v>41.68830715532286</v>
      </c>
      <c r="D28" s="31">
        <f>D21/'Financial Statements'!C114</f>
        <v>40.546706363974693</v>
      </c>
      <c r="E28" s="31">
        <f>E21/'Financial Statements'!D114</f>
        <v>22.081279147235175</v>
      </c>
      <c r="F28" s="32"/>
    </row>
    <row r="29" spans="1:7" x14ac:dyDescent="0.3">
      <c r="A29" s="18">
        <f t="shared" si="1"/>
        <v>3.5000000000000004</v>
      </c>
      <c r="B29" s="1" t="s">
        <v>130</v>
      </c>
      <c r="C29" s="31">
        <f>('Financial Statements'!B18-'Financial Statements'!B17)/'Financial Statements'!B56</f>
        <v>0.44220753075034747</v>
      </c>
      <c r="D29" s="31">
        <f>('Financial Statements'!C18-'Financial Statements'!C17)/'Financial Statements'!C56</f>
        <v>0.51850080888740124</v>
      </c>
      <c r="E29" s="31">
        <f>('Financial Statements'!D18-'Financial Statements'!D17)/'Financial Statements'!D56</f>
        <v>0.26206922726582665</v>
      </c>
      <c r="F29" s="32" t="s">
        <v>167</v>
      </c>
      <c r="G29" s="26"/>
    </row>
    <row r="30" spans="1:7" x14ac:dyDescent="0.3">
      <c r="A30" s="18">
        <f t="shared" si="1"/>
        <v>3.6000000000000005</v>
      </c>
      <c r="B30" s="1" t="s">
        <v>131</v>
      </c>
      <c r="C30" s="31">
        <f>1000*C31/'Financial Statements'!B27</f>
        <v>6.864840527818175</v>
      </c>
      <c r="D30" s="31">
        <f>1000*D31/'Financial Statements'!C27</f>
        <v>6.3239494572628958</v>
      </c>
      <c r="E30" s="31">
        <f>1000*E31/'Financial Statements'!D27</f>
        <v>4.3720308741543326</v>
      </c>
      <c r="F30" s="33"/>
    </row>
    <row r="31" spans="1:7" x14ac:dyDescent="0.3">
      <c r="A31" s="18"/>
      <c r="B31" s="3" t="s">
        <v>132</v>
      </c>
      <c r="C31">
        <f>'Financial Statements'!B91+'Financial Statements'!B96+('Financial Statements'!B104+'Financial Statements'!B105+'Financial Statements'!B106)</f>
        <v>111320</v>
      </c>
      <c r="D31" s="2">
        <f>('Financial Statements'!C106+'Financial Statements'!C105+'Financial Statements'!C104)+'Financial Statements'!C96+'Financial Statements'!C91</f>
        <v>105618</v>
      </c>
      <c r="E31" s="2">
        <f>('Financial Statements'!D91+'Financial Statements'!D96+('Financial Statements'!D106+'Financial Statements'!D105+'Financial Statements'!D104))</f>
        <v>75864</v>
      </c>
      <c r="F31" s="32"/>
    </row>
    <row r="32" spans="1:7" x14ac:dyDescent="0.3">
      <c r="A32" s="18"/>
    </row>
    <row r="33" spans="1:12" x14ac:dyDescent="0.3">
      <c r="A33" s="18">
        <f>+A24+1</f>
        <v>4</v>
      </c>
      <c r="B33" s="17" t="s">
        <v>133</v>
      </c>
    </row>
    <row r="34" spans="1:12" x14ac:dyDescent="0.3">
      <c r="A34" s="18">
        <f>+A33+0.1</f>
        <v>4.0999999999999996</v>
      </c>
      <c r="B34" s="1" t="s">
        <v>134</v>
      </c>
      <c r="C34" s="31">
        <f>'Financial Statements'!B8/'Financial Statements'!B48</f>
        <v>1.1178523337727317</v>
      </c>
      <c r="D34" s="31">
        <f>'Financial Statements'!C8/'Financial Statements'!C48</f>
        <v>1.0422077367080529</v>
      </c>
      <c r="E34" s="31">
        <f>'Financial Statements'!D8/'Financial Statements'!D48</f>
        <v>0.84756150274168851</v>
      </c>
    </row>
    <row r="35" spans="1:12" x14ac:dyDescent="0.3">
      <c r="A35" s="18">
        <f t="shared" ref="A35:A37" si="2">+A34+0.1</f>
        <v>4.1999999999999993</v>
      </c>
      <c r="B35" s="1" t="s">
        <v>135</v>
      </c>
      <c r="C35" s="31">
        <f>'Financial Statements'!B8/(('Financial Statements'!B45+'Financial Statements'!C45)/2)</f>
        <v>9.6699976703409884</v>
      </c>
      <c r="D35" s="31">
        <f>'Financial Statements'!C8/(('Financial Statements'!C45+'Financial Statements'!D45)/2)</f>
        <v>9.6007400992047867</v>
      </c>
      <c r="E35" s="31">
        <f>'Financial Statements'!D8/(('Financial Statements'!D45+37378)/2)</f>
        <v>7.4049147604661201</v>
      </c>
    </row>
    <row r="36" spans="1:12" x14ac:dyDescent="0.3">
      <c r="A36" s="18">
        <f t="shared" si="2"/>
        <v>4.2999999999999989</v>
      </c>
      <c r="B36" s="1" t="s">
        <v>136</v>
      </c>
      <c r="C36" s="31">
        <f>'Financial Statements'!B12/(('Financial Statements'!B39+'Financial Statements'!C39)/2)</f>
        <v>38.789866389033492</v>
      </c>
      <c r="D36" s="31">
        <f>'Financial Statements'!C12/(('Financial Statements'!C39+'Financial Statements'!D39)/2)</f>
        <v>40.030260313880277</v>
      </c>
      <c r="E36" s="31">
        <f>'Financial Statements'!D12/(('Financial Statements'!D39+4106)/2)</f>
        <v>41.52295824660218</v>
      </c>
    </row>
    <row r="37" spans="1:12" x14ac:dyDescent="0.3">
      <c r="A37" s="18">
        <f t="shared" si="2"/>
        <v>4.3999999999999986</v>
      </c>
      <c r="B37" s="1" t="s">
        <v>137</v>
      </c>
      <c r="C37" s="31">
        <f>'Financial Statements'!B22/'Financial Statements'!B48</f>
        <v>0.28292440929256851</v>
      </c>
      <c r="D37" s="31">
        <f>'Financial Statements'!C22/'Financial Statements'!C48</f>
        <v>0.26974205275183616</v>
      </c>
      <c r="E37" s="31">
        <f>'Financial Statements'!D22/'Financial Statements'!D48</f>
        <v>0.1772557180259843</v>
      </c>
    </row>
    <row r="38" spans="1:12" x14ac:dyDescent="0.3">
      <c r="A38" s="18"/>
    </row>
    <row r="39" spans="1:12" x14ac:dyDescent="0.3">
      <c r="A39" s="18">
        <f>+A33+1</f>
        <v>5</v>
      </c>
      <c r="B39" s="17" t="s">
        <v>138</v>
      </c>
    </row>
    <row r="40" spans="1:12" x14ac:dyDescent="0.3">
      <c r="A40" s="18">
        <f>+A39+0.1</f>
        <v>5.0999999999999996</v>
      </c>
      <c r="B40" s="1" t="s">
        <v>139</v>
      </c>
      <c r="C40" s="31">
        <f>(J42/1000)/C41</f>
        <v>24.247768103163228</v>
      </c>
      <c r="D40" s="31">
        <f>(K42/1000)/D41</f>
        <v>24.619771863117869</v>
      </c>
      <c r="E40" s="31">
        <f>(L42/1000)/E41</f>
        <v>33.739178902997679</v>
      </c>
    </row>
    <row r="41" spans="1:12" x14ac:dyDescent="0.3">
      <c r="A41" s="18">
        <f t="shared" ref="A41:A44" si="3">+A40+0.1</f>
        <v>5.1999999999999993</v>
      </c>
      <c r="B41" s="3" t="s">
        <v>140</v>
      </c>
      <c r="C41" s="31">
        <f>1000*('Financial Statements'!B22/'Financial Statements'!B27)</f>
        <v>6.1546144376377772</v>
      </c>
      <c r="D41" s="31">
        <f>1000*('Financial Statements'!C22/'Financial Statements'!C27)</f>
        <v>5.6690292811230192</v>
      </c>
      <c r="E41" s="31">
        <f>1000*('Financial Statements'!D22/'Financial Statements'!D27)</f>
        <v>3.3085872682177895</v>
      </c>
    </row>
    <row r="42" spans="1:12" x14ac:dyDescent="0.3">
      <c r="A42" s="18">
        <f t="shared" si="3"/>
        <v>5.2999999999999989</v>
      </c>
      <c r="B42" s="1" t="s">
        <v>141</v>
      </c>
      <c r="C42" s="31">
        <f>(J42/1000)/C43</f>
        <v>47.758130723081784</v>
      </c>
      <c r="D42" s="31">
        <f>(J42/1000)/D43</f>
        <v>39.505871147399816</v>
      </c>
      <c r="E42" s="31">
        <f>(L42/1000)/E43</f>
        <v>29.645387900029078</v>
      </c>
      <c r="I42" t="s">
        <v>159</v>
      </c>
      <c r="J42">
        <f>2420000000000/'Financial Statements'!B27</f>
        <v>149235.66364822121</v>
      </c>
      <c r="K42">
        <f>2331000000000/'Financial Statements'!C27</f>
        <v>139570.20758658383</v>
      </c>
      <c r="L42">
        <f>1937000000000/'Financial Statements'!D27</f>
        <v>111629.01775858038</v>
      </c>
    </row>
    <row r="43" spans="1:12" x14ac:dyDescent="0.3">
      <c r="A43" s="18">
        <f t="shared" si="3"/>
        <v>5.3999999999999986</v>
      </c>
      <c r="B43" s="3" t="s">
        <v>142</v>
      </c>
      <c r="C43" s="31">
        <f>1000*('Financial Statements'!B68/'Financial Statements'!B27)</f>
        <v>3.124822127430853</v>
      </c>
      <c r="D43" s="31">
        <f>1000*('Financial Statements'!C68/'Financial Statements'!C27)</f>
        <v>3.7775565837141025</v>
      </c>
      <c r="E43" s="31">
        <f>1000*('Financial Statements'!D68/'Financial Statements'!D27)</f>
        <v>3.765476712094932</v>
      </c>
      <c r="I43" t="s">
        <v>160</v>
      </c>
      <c r="J43">
        <f>14841000000/1000</f>
        <v>14841000</v>
      </c>
      <c r="K43">
        <f>14467000000/1000</f>
        <v>14467000</v>
      </c>
      <c r="L43">
        <f>14081000000/1000</f>
        <v>14081000</v>
      </c>
    </row>
    <row r="44" spans="1:12" x14ac:dyDescent="0.3">
      <c r="A44" s="18">
        <f t="shared" si="3"/>
        <v>5.4999999999999982</v>
      </c>
      <c r="B44" s="1" t="s">
        <v>143</v>
      </c>
      <c r="C44" s="25">
        <f>'Financial Statements'!B102/'Financial Statements'!B22</f>
        <v>-0.14870294480125848</v>
      </c>
      <c r="D44" s="25">
        <f>'Financial Statements'!C102/'Financial Statements'!C22</f>
        <v>-0.15279890156316012</v>
      </c>
      <c r="E44" s="25">
        <f>'Financial Statements'!D102/'Financial Statements'!D22</f>
        <v>-0.24526658654264863</v>
      </c>
      <c r="F44" t="s">
        <v>168</v>
      </c>
    </row>
    <row r="45" spans="1:12" x14ac:dyDescent="0.3">
      <c r="A45" s="18"/>
      <c r="B45" s="3" t="s">
        <v>144</v>
      </c>
      <c r="C45">
        <f>1000*'Financial Statements'!B102/'Financial Statements'!B27</f>
        <v>-0.91520929099307891</v>
      </c>
      <c r="D45">
        <f>1000*'Financial Statements'!C102/'Financial Statements'!C27</f>
        <v>-0.86622144708498849</v>
      </c>
      <c r="E45">
        <f>1000*'Financial Statements'!D102/'Financial Statements'!D27</f>
        <v>-0.81148590555424382</v>
      </c>
    </row>
    <row r="46" spans="1:12" x14ac:dyDescent="0.3">
      <c r="A46" s="18">
        <f>+A44+0.1</f>
        <v>5.5999999999999979</v>
      </c>
      <c r="B46" s="1" t="s">
        <v>145</v>
      </c>
      <c r="C46" s="23">
        <f>(C45/J42)*1000</f>
        <v>-6.1326446280991738E-3</v>
      </c>
      <c r="D46" s="23">
        <f>1000*D45/K42</f>
        <v>-6.2063492063492067E-3</v>
      </c>
      <c r="E46" s="23">
        <f>1000*E45/L42</f>
        <v>-7.2694889003613837E-3</v>
      </c>
    </row>
    <row r="47" spans="1:12" x14ac:dyDescent="0.3">
      <c r="A47" s="18">
        <f t="shared" ref="A47:A50" si="4">+A45+0.1</f>
        <v>0.1</v>
      </c>
      <c r="B47" s="1" t="s">
        <v>146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12" x14ac:dyDescent="0.3">
      <c r="A48" s="18">
        <f t="shared" si="4"/>
        <v>5.6999999999999975</v>
      </c>
      <c r="B48" s="1" t="s">
        <v>147</v>
      </c>
      <c r="C48">
        <f>C21/('Financial Statements'!B48-'Financial Statements'!B56)</f>
        <v>0.60087134570590572</v>
      </c>
      <c r="D48">
        <f>D21/('Financial Statements'!C48-'Financial Statements'!C56)</f>
        <v>0.48309913489209433</v>
      </c>
      <c r="E48">
        <f>E21/('Financial Statements'!D48-'Financial Statements'!D56)</f>
        <v>0.30338312829525482</v>
      </c>
      <c r="F48" s="32" t="s">
        <v>169</v>
      </c>
    </row>
    <row r="49" spans="1:6" x14ac:dyDescent="0.3">
      <c r="A49" s="18">
        <f t="shared" si="4"/>
        <v>0.2</v>
      </c>
      <c r="B49" s="1" t="s">
        <v>137</v>
      </c>
      <c r="C49">
        <f>C37</f>
        <v>0.28292440929256851</v>
      </c>
      <c r="D49">
        <f>D37</f>
        <v>0.26974205275183616</v>
      </c>
      <c r="E49">
        <f>E37</f>
        <v>0.1772557180259843</v>
      </c>
    </row>
    <row r="50" spans="1:6" x14ac:dyDescent="0.3">
      <c r="A50" s="18">
        <f t="shared" si="4"/>
        <v>5.7999999999999972</v>
      </c>
      <c r="B50" s="1" t="s">
        <v>148</v>
      </c>
      <c r="C50">
        <f>C51/C19</f>
        <v>19.08212745420979</v>
      </c>
      <c r="D50">
        <f>D51/D19</f>
        <v>19.886387264727652</v>
      </c>
      <c r="E50">
        <f>E51/E19</f>
        <v>25.302544476623915</v>
      </c>
    </row>
    <row r="51" spans="1:6" x14ac:dyDescent="0.3">
      <c r="A51" s="18"/>
      <c r="B51" s="3" t="s">
        <v>149</v>
      </c>
      <c r="C51">
        <f>2491000000000/1000000</f>
        <v>2491000</v>
      </c>
      <c r="D51">
        <f>2391000000000/1000000</f>
        <v>2391000</v>
      </c>
      <c r="E51">
        <f>1957000000000/1000000</f>
        <v>1957000</v>
      </c>
      <c r="F51" s="32" t="s">
        <v>170</v>
      </c>
    </row>
    <row r="53" spans="1:6" x14ac:dyDescent="0.3">
      <c r="A53">
        <v>6</v>
      </c>
      <c r="B53" s="1" t="s">
        <v>157</v>
      </c>
    </row>
    <row r="54" spans="1:6" x14ac:dyDescent="0.3">
      <c r="A54">
        <v>6.1</v>
      </c>
      <c r="B54" s="1" t="s">
        <v>26</v>
      </c>
      <c r="C54" s="23">
        <f>('Financial Statements'!B6/'Financial Statements'!C6)-1</f>
        <v>6.3239764351428418E-2</v>
      </c>
      <c r="D54" s="25">
        <f>('Financial Statements'!C6/'Financial Statements'!D6)-1</f>
        <v>0.34720743656765429</v>
      </c>
      <c r="E54" s="23">
        <f>('Financial Statements'!D6/213881)-1</f>
        <v>3.2101963241241593E-2</v>
      </c>
    </row>
    <row r="55" spans="1:6" x14ac:dyDescent="0.3">
      <c r="A55">
        <v>6.2</v>
      </c>
      <c r="B55" s="1" t="s">
        <v>27</v>
      </c>
      <c r="C55" s="23">
        <f>('Financial Statements'!B7/'Financial Statements'!C7)-1</f>
        <v>0.14181951041286078</v>
      </c>
      <c r="D55" s="23">
        <f>('Financial Statements'!C7/'Financial Statements'!D7)-1</f>
        <v>0.27259708376729663</v>
      </c>
      <c r="E55" s="23">
        <f>('Financial Statements'!D7/46292)-1</f>
        <v>0.16149658688326274</v>
      </c>
    </row>
    <row r="56" spans="1:6" x14ac:dyDescent="0.3">
      <c r="A56">
        <v>6.3</v>
      </c>
      <c r="B56" s="1" t="s">
        <v>150</v>
      </c>
      <c r="C56" s="23">
        <f>('Financial Statements'!B8/'Financial Statements'!C8)-1</f>
        <v>7.7937876041846099E-2</v>
      </c>
      <c r="D56" s="23">
        <f>('Financial Statements'!C8/'Financial Statements'!D8)-1</f>
        <v>0.33259384733074704</v>
      </c>
      <c r="E56" s="23">
        <f>('Financial Statements'!D8/260179)-1</f>
        <v>5.5100526944910966E-2</v>
      </c>
    </row>
    <row r="57" spans="1:6" x14ac:dyDescent="0.3">
      <c r="A57">
        <v>6.4</v>
      </c>
      <c r="B57" s="1" t="s">
        <v>161</v>
      </c>
      <c r="C57" s="27">
        <f>('Financial Statements'!B42/'Financial Statements'!C42)-1</f>
        <v>4.2199412619774446E-3</v>
      </c>
      <c r="D57" s="25">
        <f>('Financial Statements'!C42/'Financial Statements'!D42)-1</f>
        <v>-6.1768942266879123E-2</v>
      </c>
      <c r="E57" s="25">
        <f>('Financial Statements'!D42/162819)-1</f>
        <v>-0.11734502730025365</v>
      </c>
    </row>
    <row r="58" spans="1:6" x14ac:dyDescent="0.3">
      <c r="A58">
        <v>6.5</v>
      </c>
      <c r="B58" s="1" t="s">
        <v>162</v>
      </c>
      <c r="C58" s="25">
        <f>('Financial Statements'!B47/'Financial Statements'!C47)-1</f>
        <v>5.477272096444441E-3</v>
      </c>
      <c r="D58" s="25">
        <f>('Financial Statements'!C47/'Financial Statements'!D47)-1</f>
        <v>0.19975579297904811</v>
      </c>
      <c r="E58" s="25">
        <f>('Financial Statements'!D47/175697)-1</f>
        <v>2.5487060109165238E-2</v>
      </c>
    </row>
    <row r="59" spans="1:6" x14ac:dyDescent="0.3">
      <c r="A59">
        <v>6.6</v>
      </c>
      <c r="B59" s="1" t="s">
        <v>58</v>
      </c>
      <c r="C59" s="25">
        <f>('Financial Statements'!B48/'Financial Statements'!C48)-1</f>
        <v>4.994273536902849E-3</v>
      </c>
      <c r="D59" s="25">
        <f>('Financial Statements'!C48/'Financial Statements'!D48)-1</f>
        <v>8.3714123400681739E-2</v>
      </c>
      <c r="E59" s="25">
        <f>('Financial Statements'!D48/338516)-1</f>
        <v>-4.3212137683300011E-2</v>
      </c>
    </row>
    <row r="60" spans="1:6" x14ac:dyDescent="0.3">
      <c r="A60">
        <v>6.7</v>
      </c>
      <c r="B60" s="1" t="s">
        <v>164</v>
      </c>
      <c r="C60" s="25">
        <f>('Financial Statements'!B56/'Financial Statements'!C56)-1</f>
        <v>0.22713398841258825</v>
      </c>
      <c r="D60" s="25">
        <f>('Financial Statements'!C56/'Financial Statements'!D56)-1</f>
        <v>0.19061219067860935</v>
      </c>
      <c r="E60" s="25">
        <f>('Financial Statements'!D56/105718)-1</f>
        <v>-3.0836754384305776E-3</v>
      </c>
    </row>
    <row r="61" spans="1:6" x14ac:dyDescent="0.3">
      <c r="A61">
        <v>6.8</v>
      </c>
      <c r="B61" s="1" t="s">
        <v>163</v>
      </c>
      <c r="C61" s="28">
        <f>('Financial Statements'!B61/'Financial Statements'!C61)-1</f>
        <v>-8.8222075835277747E-2</v>
      </c>
      <c r="D61" s="25">
        <f>('Financial Statements'!C61/'Financial Statements'!D61)-1</f>
        <v>6.0552243775994663E-2</v>
      </c>
      <c r="E61" s="25">
        <f>('Financial Statements'!D61/142310)-1</f>
        <v>7.6220926147143597E-2</v>
      </c>
    </row>
    <row r="62" spans="1:6" x14ac:dyDescent="0.3">
      <c r="A62">
        <v>6.9</v>
      </c>
      <c r="B62" s="1" t="s">
        <v>69</v>
      </c>
      <c r="C62" s="25">
        <f>('Financial Statements'!B62/'Financial Statements'!C62)-1</f>
        <v>4.9219900525160565E-2</v>
      </c>
      <c r="D62" s="25">
        <f>('Financial Statements'!C62/'Financial Statements'!D62)-1</f>
        <v>0.11356841449783217</v>
      </c>
      <c r="E62" s="25">
        <f>('Financial Statements'!D62/248028)-1</f>
        <v>4.2418597900237165E-2</v>
      </c>
    </row>
    <row r="64" spans="1:6" ht="12.6" customHeight="1" x14ac:dyDescent="0.3">
      <c r="A64">
        <v>7</v>
      </c>
      <c r="B64" s="1" t="s">
        <v>151</v>
      </c>
    </row>
    <row r="65" spans="1:6" x14ac:dyDescent="0.3">
      <c r="A65">
        <v>7.1</v>
      </c>
      <c r="B65" s="1" t="s">
        <v>152</v>
      </c>
      <c r="C65" s="23">
        <f>('Financial Statements'!B15/'Financial Statements'!C15)-1</f>
        <v>0.19791001186456136</v>
      </c>
      <c r="D65" s="23">
        <f>('Financial Statements'!C15/'Financial Statements'!D15)-1</f>
        <v>0.16862201365187723</v>
      </c>
      <c r="E65" s="23">
        <f>('Financial Statements'!D15/16217)-1</f>
        <v>0.15631744465684161</v>
      </c>
    </row>
    <row r="66" spans="1:6" x14ac:dyDescent="0.3">
      <c r="A66">
        <v>7.2</v>
      </c>
      <c r="B66" s="1" t="s">
        <v>153</v>
      </c>
      <c r="C66" s="23">
        <f>('Financial Statements'!B16/'Financial Statements'!C16)-1</f>
        <v>0.14203795567287125</v>
      </c>
      <c r="D66" s="23">
        <f>('Financial Statements'!C16/'Financial Statements'!D16)-1</f>
        <v>0.10328379192608961</v>
      </c>
      <c r="E66" s="23">
        <f>('Financial Statements'!D16/18245)-1</f>
        <v>9.1586736092080123E-2</v>
      </c>
    </row>
    <row r="68" spans="1:6" x14ac:dyDescent="0.3">
      <c r="A68">
        <v>8</v>
      </c>
      <c r="B68" s="1" t="s">
        <v>154</v>
      </c>
    </row>
    <row r="69" spans="1:6" x14ac:dyDescent="0.3">
      <c r="A69">
        <v>8.1</v>
      </c>
      <c r="B69" t="s">
        <v>11</v>
      </c>
      <c r="C69" s="23">
        <f>'Financial Statements'!B12/'Financial Statements'!B8</f>
        <v>0.56690369438639909</v>
      </c>
      <c r="D69" s="23">
        <f>'Financial Statements'!C12/'Financial Statements'!C8</f>
        <v>0.58220640374832222</v>
      </c>
      <c r="E69" s="23">
        <f>'Financial Statements'!D12/'Financial Statements'!D8</f>
        <v>0.61766752272189129</v>
      </c>
    </row>
    <row r="70" spans="1:6" x14ac:dyDescent="0.3">
      <c r="A70">
        <v>8.1999999999999993</v>
      </c>
      <c r="B70" t="s">
        <v>7</v>
      </c>
      <c r="C70" s="23">
        <f>'Financial Statements'!B13/'Financial Statements'!B8</f>
        <v>0.43309630561360085</v>
      </c>
      <c r="D70" s="23">
        <f>'Financial Statements'!C13/'Financial Statements'!C8</f>
        <v>0.41779359625167778</v>
      </c>
      <c r="E70" s="23">
        <f>'Financial Statements'!D13/'Financial Statements'!D8</f>
        <v>0.38233247727810865</v>
      </c>
    </row>
    <row r="71" spans="1:6" x14ac:dyDescent="0.3">
      <c r="A71">
        <v>8.3000000000000007</v>
      </c>
      <c r="B71" t="s">
        <v>155</v>
      </c>
      <c r="C71" s="23">
        <f>'Financial Statements'!B22/'Financial Statements'!B8</f>
        <v>0.25309640705199732</v>
      </c>
      <c r="D71" s="23">
        <f>'Financial Statements'!C22/'Financial Statements'!C8</f>
        <v>0.25881793355694238</v>
      </c>
      <c r="E71" s="23">
        <f>'Financial Statements'!D22/'Financial Statements'!D8</f>
        <v>0.20913611278072236</v>
      </c>
    </row>
    <row r="72" spans="1:6" x14ac:dyDescent="0.3">
      <c r="A72">
        <v>8.4</v>
      </c>
      <c r="B72" t="s">
        <v>12</v>
      </c>
      <c r="C72" s="23">
        <f>'Financial Statements'!B18/'Financial Statements'!B8</f>
        <v>0.30288744395528594</v>
      </c>
      <c r="D72" s="23">
        <f>'Financial Statements'!C18/'Financial Statements'!C8</f>
        <v>0.29782377527561593</v>
      </c>
      <c r="E72" s="23">
        <f>'Financial Statements'!D18/'Financial Statements'!D8</f>
        <v>0.24147314354406862</v>
      </c>
    </row>
    <row r="73" spans="1:6" x14ac:dyDescent="0.3">
      <c r="A73">
        <v>8.5</v>
      </c>
      <c r="B73" t="s">
        <v>152</v>
      </c>
      <c r="C73" s="23">
        <f>'Financial Statements'!B15/'Financial Statements'!B8</f>
        <v>6.657148363798665E-2</v>
      </c>
      <c r="D73" s="23">
        <f>'Financial Statements'!C15/'Financial Statements'!C8</f>
        <v>5.9904269074427925E-2</v>
      </c>
      <c r="E73" s="23">
        <f>'Financial Statements'!D15/'Financial Statements'!D8</f>
        <v>6.8309564140393061E-2</v>
      </c>
    </row>
    <row r="74" spans="1:6" x14ac:dyDescent="0.3">
      <c r="A74">
        <v>8.6</v>
      </c>
      <c r="B74" t="s">
        <v>153</v>
      </c>
      <c r="C74" s="23">
        <f>'Financial Statements'!B16/'Financial Statements'!B8</f>
        <v>6.3637378020328261E-2</v>
      </c>
      <c r="D74" s="23">
        <f>'Financial Statements'!C16/'Financial Statements'!C8</f>
        <v>6.006555190163388E-2</v>
      </c>
      <c r="E74" s="23">
        <f>'Financial Statements'!D16/'Financial Statements'!D8</f>
        <v>7.2549769593646979E-2</v>
      </c>
    </row>
    <row r="78" spans="1:6" x14ac:dyDescent="0.3">
      <c r="A78">
        <v>9</v>
      </c>
      <c r="B78" t="s">
        <v>156</v>
      </c>
    </row>
    <row r="79" spans="1:6" x14ac:dyDescent="0.3">
      <c r="A79">
        <v>9.1</v>
      </c>
      <c r="B79" t="s">
        <v>15</v>
      </c>
      <c r="C79" s="23">
        <f>'Financial Statements'!B21/'Financial Statements'!B20</f>
        <v>0.16204461684424407</v>
      </c>
      <c r="D79" s="23">
        <f>'Financial Statements'!C21/'Financial Statements'!C20</f>
        <v>0.13302260844085087</v>
      </c>
      <c r="E79" s="23">
        <f>'Financial Statements'!D21/'Financial Statements'!D20</f>
        <v>0.14428164731484103</v>
      </c>
    </row>
    <row r="80" spans="1:6" x14ac:dyDescent="0.3">
      <c r="A80">
        <v>9.1999999999999993</v>
      </c>
      <c r="B80" t="s">
        <v>16</v>
      </c>
      <c r="C80" s="23">
        <f>'Financial Statements'!B45/'Financial Statements'!B8</f>
        <v>0.10680702359457102</v>
      </c>
      <c r="D80" s="25">
        <f>'Financial Statements'!C45/'Financial Statements'!C8</f>
        <v>0.10781346957631821</v>
      </c>
      <c r="E80" s="25">
        <f>'Financial Statements'!D45/'Financial Statements'!D8</f>
        <v>0.13393075059650655</v>
      </c>
      <c r="F80" t="s">
        <v>171</v>
      </c>
    </row>
    <row r="81" spans="1:6" x14ac:dyDescent="0.3">
      <c r="A81">
        <v>9.3000000000000007</v>
      </c>
      <c r="B81" t="s">
        <v>17</v>
      </c>
      <c r="C81" s="25">
        <f>'Financial Statements'!B45/'Financial Statements'!B48</f>
        <v>0.11939448058851045</v>
      </c>
      <c r="D81" s="25">
        <f>'Financial Statements'!C45/'Financial Statements'!C48</f>
        <v>0.11236403211377713</v>
      </c>
      <c r="E81" s="25">
        <f>'Financial Statements'!D45/'Financial Statements'!D48</f>
        <v>0.11351454823889739</v>
      </c>
      <c r="F81" t="s">
        <v>171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Shamla Yoosoof</cp:lastModifiedBy>
  <cp:revision/>
  <dcterms:created xsi:type="dcterms:W3CDTF">2023-09-26T10:49:44Z</dcterms:created>
  <dcterms:modified xsi:type="dcterms:W3CDTF">2024-01-17T17:12:39Z</dcterms:modified>
  <cp:category/>
  <cp:contentStatus/>
</cp:coreProperties>
</file>