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13_ncr:1_{1640343E-A169-4DD6-9F55-4442C5BC9D20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C19" i="5"/>
  <c r="D19" i="5"/>
  <c r="E19" i="5"/>
  <c r="F19" i="5"/>
  <c r="G19" i="5"/>
  <c r="H19" i="5"/>
  <c r="I19" i="5"/>
  <c r="B19" i="5"/>
  <c r="C10" i="5"/>
  <c r="D10" i="5"/>
  <c r="E10" i="5"/>
  <c r="F10" i="5"/>
  <c r="G10" i="5"/>
  <c r="H10" i="5"/>
  <c r="I10" i="5"/>
  <c r="B10" i="5"/>
  <c r="C9" i="5"/>
  <c r="D9" i="5"/>
  <c r="E9" i="5"/>
  <c r="F9" i="5"/>
  <c r="G9" i="5"/>
  <c r="H9" i="5"/>
  <c r="I9" i="5"/>
  <c r="C23" i="5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6" i="3"/>
  <c r="B6" i="3"/>
  <c r="C15" i="5"/>
  <c r="C16" i="5" s="1"/>
  <c r="D15" i="5"/>
  <c r="E15" i="5"/>
  <c r="F15" i="5"/>
  <c r="F16" i="5" s="1"/>
  <c r="G15" i="5"/>
  <c r="H15" i="5"/>
  <c r="I15" i="5"/>
  <c r="I16" i="5" s="1"/>
  <c r="K15" i="5"/>
  <c r="K16" i="5" s="1"/>
  <c r="M15" i="5"/>
  <c r="M16" i="5" s="1"/>
  <c r="N15" i="5"/>
  <c r="O16" i="5" s="1"/>
  <c r="O15" i="5"/>
  <c r="P15" i="5"/>
  <c r="Q15" i="5"/>
  <c r="B15" i="5"/>
  <c r="C11" i="5"/>
  <c r="D11" i="5"/>
  <c r="E11" i="5"/>
  <c r="F11" i="5"/>
  <c r="G11" i="5"/>
  <c r="H11" i="5"/>
  <c r="I11" i="5"/>
  <c r="B11" i="5"/>
  <c r="F5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C4" i="5" s="1"/>
  <c r="C17" i="5" s="1"/>
  <c r="B3" i="5"/>
  <c r="B5" i="5" s="1"/>
  <c r="C1" i="5"/>
  <c r="D1" i="5" s="1"/>
  <c r="E1" i="5" s="1"/>
  <c r="F1" i="5" s="1"/>
  <c r="G1" i="5" s="1"/>
  <c r="H1" i="5" s="1"/>
  <c r="I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C5" i="5" l="1"/>
  <c r="D16" i="5"/>
  <c r="D26" i="5" s="1"/>
  <c r="D6" i="5"/>
  <c r="P16" i="5"/>
  <c r="E17" i="5"/>
  <c r="E26" i="5" s="1"/>
  <c r="E6" i="5"/>
  <c r="C6" i="5"/>
  <c r="D17" i="5"/>
  <c r="D27" i="5" s="1"/>
  <c r="C27" i="5"/>
  <c r="H4" i="5"/>
  <c r="C26" i="5"/>
  <c r="G16" i="5"/>
  <c r="C8" i="5"/>
  <c r="I5" i="5"/>
  <c r="E5" i="5"/>
  <c r="D5" i="5"/>
  <c r="E16" i="5"/>
  <c r="I4" i="5"/>
  <c r="G4" i="5"/>
  <c r="F4" i="5"/>
  <c r="B4" i="5"/>
  <c r="H16" i="5"/>
  <c r="C7" i="5"/>
  <c r="E7" i="5"/>
  <c r="E8" i="5"/>
  <c r="D7" i="5"/>
  <c r="D8" i="5"/>
  <c r="G5" i="5"/>
  <c r="B6" i="5"/>
  <c r="H5" i="5"/>
  <c r="N16" i="5"/>
  <c r="I65" i="4"/>
  <c r="I63" i="4"/>
  <c r="I62" i="4"/>
  <c r="L112" i="1"/>
  <c r="G62" i="4"/>
  <c r="H62" i="4"/>
  <c r="D28" i="5" l="1"/>
  <c r="F17" i="5"/>
  <c r="F26" i="5" s="1"/>
  <c r="B8" i="5"/>
  <c r="B17" i="5"/>
  <c r="B26" i="5" s="1"/>
  <c r="B27" i="5"/>
  <c r="E27" i="5"/>
  <c r="E28" i="5" s="1"/>
  <c r="B7" i="5"/>
  <c r="I17" i="5"/>
  <c r="I26" i="5" s="1"/>
  <c r="G27" i="5"/>
  <c r="G17" i="5"/>
  <c r="G26" i="5" s="1"/>
  <c r="H17" i="5"/>
  <c r="H26" i="5" s="1"/>
  <c r="C28" i="5"/>
  <c r="F8" i="5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B28" i="5" l="1"/>
  <c r="F27" i="5"/>
  <c r="H27" i="5"/>
  <c r="H28" i="5" s="1"/>
  <c r="I27" i="5"/>
  <c r="I28" i="5" s="1"/>
  <c r="F28" i="5"/>
  <c r="G28" i="5"/>
  <c r="V84" i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<sst xmlns="http://schemas.openxmlformats.org/spreadsheetml/2006/main" count="596" uniqueCount="274">
  <si>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</si>
  <si>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</si>
  <si>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</si>
  <si>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</si>
  <si>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</si>
  <si>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</si>
  <si>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</si>
  <si>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</si>
  <si>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</si>
  <si>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</si>
  <si>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</si>
  <si>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</si>
  <si>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</si>
  <si>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</si>
  <si>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</si>
  <si>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</si>
  <si>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</si>
  <si>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</si>
  <si>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</si>
  <si>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</si>
  <si>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</si>
  <si>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</si>
  <si>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</si>
  <si>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</si>
  <si>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</si>
  <si>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</si>
  <si>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</si>
  <si>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</si>
  <si>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</si>
  <si>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</si>
  <si>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</si>
  <si>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</si>
  <si>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</si>
  <si>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</si>
  <si>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</si>
  <si>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</si>
  <si>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</si>
  <si>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</si>
  <si>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</si>
  <si>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</si>
  <si>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</si>
  <si>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</si>
  <si>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</si>
  <si>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</si>
  <si>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</si>
  <si>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</si>
  <si>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</si>
  <si>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</si>
  <si>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</si>
  <si>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</si>
  <si>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</si>
  <si>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</si>
  <si>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</si>
  <si>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</si>
  <si>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</si>
  <si>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</si>
  <si>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</si>
  <si>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</si>
  <si>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</si>
  <si>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</si>
  <si>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</si>
  <si>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</si>
  <si>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</si>
  <si>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</si>
  <si>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</si>
  <si>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</si>
  <si>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</si>
  <si>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</si>
  <si>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</si>
  <si>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</si>
  <si>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</si>
  <si>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</si>
  <si>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</si>
  <si>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</si>
  <si>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</si>
  <si>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</si>
  <si>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</si>
  <si>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</si>
  <si>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</si>
  <si>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</si>
  <si>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</si>
  <si>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</si>
  <si>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</si>
  <si>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</si>
  <si>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</si>
  <si>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</si>
  <si>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</si>
  <si>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</si>
  <si>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</si>
  <si>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</si>
  <si>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</si>
  <si>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</si>
  <si>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</si>
  <si>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</si>
  <si>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</si>
  <si>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</si>
  <si>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</si>
  <si>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</si>
  <si>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</si>
  <si>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</si>
  <si>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</si>
  <si>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</si>
  <si>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</si>
  <si>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</si>
  <si>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</si>
  <si>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</si>
  <si>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</si>
  <si>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</si>
  <si>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</si>
  <si>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</si>
  <si>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</si>
  <si>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</si>
  <si>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</si>
  <si>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</si>
  <si>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</si>
  <si>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</si>
  <si>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</si>
  <si>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</si>
  <si>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</si>
  <si>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</si>
  <si>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</si>
  <si>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</si>
  <si>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</si>
  <si>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</si>
  <si>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</si>
  <si>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</si>
  <si>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</si>
  <si>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</si>
  <si>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</si>
  <si>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</si>
  <si>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</si>
  <si>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</si>
  <si>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</si>
  <si>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</si>
  <si>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</si>
  <si>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</si>
  <si>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</si>
  <si>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</si>
  <si>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</si>
  <si>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</si>
  <si>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</si>
  <si>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</si>
  <si>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</si>
  <si>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</si>
  <si>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</si>
  <si>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</si>
  <si>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</si>
  <si>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</si>
  <si>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</si>
  <si>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</si>
  <si>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</si>
  <si>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</si>
  <si>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</si>
  <si>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</si>
  <si>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</si>
  <si>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</si>
  <si>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</si>
  <si>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</si>
  <si>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</si>
  <si>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</si>
  <si>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</si>
  <si>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</si>
  <si>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</si>
  <si>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</si>
  <si>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</si>
  <si>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</si>
  <si>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</si>
  <si>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</si>
  <si>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</si>
  <si>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</si>
  <si>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</si>
  <si>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</si>
  <si>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</si>
  <si>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</si>
  <si>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</si>
  <si>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</si>
  <si>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</si>
  <si>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</si>
  <si>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</si>
  <si>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</si>
  <si>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</si>
  <si>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</si>
  <si>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</si>
  <si>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</si>
  <si>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</si>
  <si>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</si>
  <si>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</si>
  <si>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</si>
  <si>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</si>
  <si>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</si>
  <si>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</si>
  <si>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</si>
  <si>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</si>
  <si>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</si>
  <si>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</si>
  <si>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</si>
  <si>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</si>
  <si>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</si>
  <si>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</si>
  <si>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</si>
  <si>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</si>
  <si>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</si>
  <si>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</si>
  <si>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</si>
  <si>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</si>
  <si>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</si>
  <si>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</si>
  <si>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</si>
  <si>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</si>
  <si>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</si>
  <si>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</si>
  <si>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</si>
  <si>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</si>
  <si>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</si>
  <si>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</si>
  <si>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</si>
  <si>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</si>
  <si>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</si>
  <si>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</si>
  <si>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</si>
  <si>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</si>
  <si>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</si>
  <si>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</si>
  <si>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</si>
  <si>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</si>
  <si>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</si>
  <si>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</si>
  <si>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</si>
  <si>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</si>
  <si>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</si>
  <si>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</si>
  <si>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</si>
  <si>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</si>
  <si>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</si>
  <si>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</si>
  <si>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</si>
  <si>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</si>
  <si>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</si>
  <si>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</si>
  <si>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</si>
  <si>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</si>
  <si>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</si>
  <si>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</si>
  <si>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</si>
  <si>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</si>
  <si>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</si>
  <si>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</si>
  <si>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</si>
  <si>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</si>
  <si>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</si>
  <si>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</si>
  <si>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</si>
  <si>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</si>
  <si>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</si>
  <si>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</si>
  <si>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</si>
  <si>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</si>
  <si>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</si>
  <si>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</si>
  <si>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</si>
  <si>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</si>
  <si>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</si>
  <si>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</si>
  <si>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</si>
  <si>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</si>
  <si>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</si>
  <si>
    <t>Cost of Equity = Risk-Free Rate of Return (Rf) + Beta * (Market Rate of Return (Rm) - Risk-Free Rate of Return(Rf))</t>
  </si>
  <si>
    <t>Interest/Long term borrowings</t>
  </si>
  <si>
    <t>Link only long term debt, remove current debt. Debt Ratio = Debt/Capital ratio</t>
  </si>
  <si>
    <t>Source from the US treasury website</t>
  </si>
  <si>
    <t>WACC = (cost of equity from row 19 below/(1-debt ratio))+(Cost of debt from row 22 below/debt ratio from below))</t>
  </si>
  <si>
    <t>Link this row to the debt to capital ratio from row 10 above</t>
  </si>
  <si>
    <t>Market Cap + Total Debt - (Cash + Cash Equivalents), where Market Cap= Share price*Diluted number of shares/1000</t>
  </si>
  <si>
    <t>Change this to 12.84%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</si>
</sst>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164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  <xf numFmtId="164" fontId="0" fillId="0" borderId="8" xfId="0" applyNumberFormat="1" applyBorder="1"/>
    <xf numFmtId="0" fontId="0" fillId="0" borderId="0" xfId="0" applyBorder="1"/>
    <xf numFmtId="164" fontId="0" fillId="0" borderId="0" xfId="0" applyNumberFormat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topLeftCell="A15" zoomScaleNormal="100" workbookViewId="0">
      <selection activeCell="I39" sqref="I39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52.33203125" customWidth="1"/>
    <col min="16" max="17" width="26.664062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3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3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5" thickBot="1" x14ac:dyDescent="0.3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3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5" thickBot="1" x14ac:dyDescent="0.3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3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3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3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3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3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W31"/>
  <sheetViews>
    <sheetView tabSelected="1" workbookViewId="0">
      <selection activeCell="I8" sqref="I8"/>
    </sheetView>
  </sheetViews>
  <sheetFormatPr defaultColWidth="11.44140625" defaultRowHeight="14.4" x14ac:dyDescent="0.3"/>
  <cols>
    <col min="9" max="9" width="11.6640625" bestFit="1" customWidth="1"/>
    <col min="10" max="10" width="80.77734375" customWidth="1"/>
    <col min="11" max="11" width="82.33203125" customWidth="1"/>
  </cols>
  <sheetData>
    <row r="1" spans="1:23" ht="100.8" x14ac:dyDescent="0.3">
      <c r="A1" s="78" t="s">
        <v>231</v>
      </c>
      <c r="B1" s="16">
        <v>2015</v>
      </c>
      <c r="C1" s="16">
        <f t="shared" ref="C1:V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223</v>
      </c>
      <c r="K1" s="79" t="s">
        <v>223</v>
      </c>
      <c r="L1" s="79" t="s">
        <v>20</v>
      </c>
      <c r="M1" s="80">
        <f>+I1+1</f>
        <v>2023</v>
      </c>
      <c r="N1" s="80">
        <f t="shared" si="0"/>
        <v>2024</v>
      </c>
      <c r="O1" s="80">
        <f t="shared" si="0"/>
        <v>2025</v>
      </c>
      <c r="P1" s="80">
        <f t="shared" si="0"/>
        <v>2026</v>
      </c>
      <c r="Q1" s="80">
        <f t="shared" si="0"/>
        <v>2027</v>
      </c>
      <c r="R1" s="80">
        <f t="shared" si="0"/>
        <v>2028</v>
      </c>
      <c r="S1" s="80">
        <f t="shared" si="0"/>
        <v>2029</v>
      </c>
      <c r="T1" s="80">
        <f t="shared" si="0"/>
        <v>2030</v>
      </c>
      <c r="U1" s="80">
        <f t="shared" si="0"/>
        <v>2031</v>
      </c>
      <c r="V1" s="80">
        <f t="shared" si="0"/>
        <v>2032</v>
      </c>
      <c r="W1" s="81" t="s">
        <v>232</v>
      </c>
    </row>
    <row r="2" spans="1:23" x14ac:dyDescent="0.3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82"/>
      <c r="S2" s="82"/>
      <c r="T2" s="82"/>
      <c r="U2" s="82"/>
      <c r="V2" s="82"/>
      <c r="W2" s="82"/>
    </row>
    <row r="3" spans="1:23" x14ac:dyDescent="0.3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J3" s="74"/>
      <c r="M3" s="74"/>
      <c r="N3" s="54"/>
      <c r="O3" s="54"/>
      <c r="P3" s="54"/>
      <c r="Q3" s="54"/>
    </row>
    <row r="4" spans="1:23" x14ac:dyDescent="0.3">
      <c r="A4" t="s">
        <v>235</v>
      </c>
      <c r="B4" s="3">
        <f>(B3*('Three Statements'!B33+'Three Statements'!B34+'Three Statements'!B36+'Three Statements'!B37+'Three Statements'!B38)-'Three Statements'!B21)</f>
        <v>148676.0625</v>
      </c>
      <c r="C4" s="3">
        <f>(C3*('Three Statements'!C33+'Three Statements'!C34+'Three Statements'!C36+'Three Statements'!C37+'Three Statements'!C38)-'Three Statements'!C21)</f>
        <v>210838.875</v>
      </c>
      <c r="D4" s="3">
        <f>(D3+'Three Statements'!D33+'Three Statements'!D34+'Three Statements'!D36+'Three Statements'!D37+'Three Statements'!D38)-'Three Statements'!D21</f>
        <v>1957.2383333333328</v>
      </c>
      <c r="E4" s="3">
        <f>(E3*('Three Statements'!E33+'Three Statements'!E34+'Three Statements'!E36+'Three Statements'!E37+'Three Statements'!E38)-'Three Statements'!E21)</f>
        <v>516664.495</v>
      </c>
      <c r="F4" s="3">
        <f>(F3+'Three Statements'!F33+'Three Statements'!F34+'Three Statements'!F36+'Three Statements'!F37+'Three Statements'!F38)-'Three Statements'!F21</f>
        <v>2432.0974999999999</v>
      </c>
      <c r="G4" s="3">
        <f>(G3*('Three Statements'!G33+'Three Statements'!G34+'Three Statements'!G36+'Three Statements'!G37+'Three Statements'!G38)-'Three Statements'!G21)</f>
        <v>1623791.865</v>
      </c>
      <c r="H4" s="3">
        <f>(H3+'Three Statements'!H33+'Three Statements'!H34+'Three Statements'!H36+'Three Statements'!H37+'Three Statements'!H38)-'Three Statements'!H21</f>
        <v>5540.1533333333336</v>
      </c>
      <c r="I4" s="3">
        <f>(I3*('Three Statements'!I33+'Three Statements'!I34+'Three Statements'!I36+'Three Statements'!I37+'Three Statements'!I38)-'Three Statements'!I21)</f>
        <v>1706594.0000000002</v>
      </c>
      <c r="J4" t="s">
        <v>272</v>
      </c>
    </row>
    <row r="5" spans="1:23" x14ac:dyDescent="0.3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  <c r="J5" s="54"/>
    </row>
    <row r="6" spans="1:23" x14ac:dyDescent="0.3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  <c r="J6" s="54"/>
    </row>
    <row r="7" spans="1:23" x14ac:dyDescent="0.3">
      <c r="A7" t="s">
        <v>238</v>
      </c>
      <c r="B7" s="54">
        <f>B4/'Three Statements'!B5</f>
        <v>30.724542777433353</v>
      </c>
      <c r="C7" s="54">
        <f>C4/'Three Statements'!C5</f>
        <v>39.698526642816795</v>
      </c>
      <c r="D7" s="54">
        <f>D4/'Three Statements'!D5</f>
        <v>0.39019902977139809</v>
      </c>
      <c r="E7" s="54">
        <f>E4/'Three Statements'!E5</f>
        <v>120.99871077283372</v>
      </c>
      <c r="F7" s="54">
        <f>F4/'Three Statements'!F5</f>
        <v>0.53429206942003515</v>
      </c>
      <c r="G7" s="54">
        <f>G4/'Three Statements'!G5</f>
        <v>579.09838266761767</v>
      </c>
      <c r="H7" s="54">
        <f>H4/'Three Statements'!H5</f>
        <v>0.85867224633188677</v>
      </c>
      <c r="I7" s="54">
        <f>I4/'Three Statements'!I5</f>
        <v>286.10125733445102</v>
      </c>
      <c r="J7" s="54"/>
    </row>
    <row r="8" spans="1:23" x14ac:dyDescent="0.3">
      <c r="A8" t="s">
        <v>239</v>
      </c>
      <c r="B8" s="54">
        <f>B4/'Three Statements'!B53</f>
        <v>31.952732108317214</v>
      </c>
      <c r="C8" s="54">
        <f>C4/'Three Statements'!C53</f>
        <v>39.174818840579711</v>
      </c>
      <c r="D8" s="54">
        <f>D4/'Three Statements'!D53</f>
        <v>0.42346134429539872</v>
      </c>
      <c r="E8" s="54">
        <f>E4/'Three Statements'!E53</f>
        <v>103.89392620148803</v>
      </c>
      <c r="F8" s="54">
        <f>F4/'Three Statements'!F53</f>
        <v>0.59146339980544749</v>
      </c>
      <c r="G8" s="54">
        <f>G4/'Three Statements'!G53</f>
        <v>713.44106546572937</v>
      </c>
      <c r="H8" s="54">
        <f>H4/'Three Statements'!H53</f>
        <v>1.0341895339431275</v>
      </c>
      <c r="I8" s="54">
        <f>I4/'Three Statements'!I53</f>
        <v>402.11922714420365</v>
      </c>
      <c r="J8" s="54"/>
    </row>
    <row r="9" spans="1:23" x14ac:dyDescent="0.3">
      <c r="A9" t="s">
        <v>240</v>
      </c>
      <c r="B9" s="83">
        <f>'Three Statements'!B36/'Three Statements'!B39</f>
        <v>8.4913827024474697E-2</v>
      </c>
      <c r="C9" s="83">
        <f>'Three Statements'!C36/'Three Statements'!C39</f>
        <v>0.16397454723445912</v>
      </c>
      <c r="D9" s="83">
        <f>'Three Statements'!D36/'Three Statements'!D39</f>
        <v>0.27976142500201501</v>
      </c>
      <c r="E9" s="83">
        <f>'Three Statements'!E36/'Three Statements'!E39</f>
        <v>0.35344476151651039</v>
      </c>
      <c r="F9" s="83">
        <f>'Three Statements'!F36/'Three Statements'!F39</f>
        <v>0.38318584070796458</v>
      </c>
      <c r="G9" s="83">
        <f>'Three Statements'!G36/'Three Statements'!G39</f>
        <v>1.1677219118559901</v>
      </c>
      <c r="H9" s="83">
        <f>'Three Statements'!H36/'Three Statements'!H39</f>
        <v>0.73729145453121325</v>
      </c>
      <c r="I9" s="83">
        <f>'Three Statements'!I36/'Three Statements'!I39</f>
        <v>0.58373143118905835</v>
      </c>
      <c r="J9" s="83"/>
    </row>
    <row r="10" spans="1:23" x14ac:dyDescent="0.3">
      <c r="A10" t="s">
        <v>241</v>
      </c>
      <c r="B10" s="83">
        <f>'Three Statements'!B36/('Three Statements'!B36+'Three Statements'!B39)</f>
        <v>7.826780792107936E-2</v>
      </c>
      <c r="C10" s="83">
        <f>'Three Statements'!C36/('Three Statements'!C36+'Three Statements'!C39)</f>
        <v>0.14087468460891506</v>
      </c>
      <c r="D10" s="83">
        <f>'Three Statements'!D36/('Three Statements'!D36+'Three Statements'!D39)</f>
        <v>0.21860435823151531</v>
      </c>
      <c r="E10" s="83">
        <f>'Three Statements'!E36/('Three Statements'!E36+'Three Statements'!E39)</f>
        <v>0.261144578313253</v>
      </c>
      <c r="F10" s="83">
        <f>'Three Statements'!F36/('Three Statements'!F36+'Three Statements'!F39)</f>
        <v>0.27703134996801021</v>
      </c>
      <c r="G10" s="83">
        <f>'Three Statements'!G36/('Three Statements'!G36+'Three Statements'!G39)</f>
        <v>0.53868621499341385</v>
      </c>
      <c r="H10" s="83">
        <f>'Three Statements'!H36/('Three Statements'!H36+'Three Statements'!H39)</f>
        <v>0.42439134355275021</v>
      </c>
      <c r="I10" s="83">
        <f>'Three Statements'!I36/('Three Statements'!I36+'Three Statements'!I39)</f>
        <v>0.36857981075162183</v>
      </c>
      <c r="J10" s="83"/>
    </row>
    <row r="11" spans="1:23" x14ac:dyDescent="0.3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  <c r="J11" s="83"/>
    </row>
    <row r="15" spans="1:23" x14ac:dyDescent="0.3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/>
      <c r="K15" s="3">
        <f>'Three Statements'!J53</f>
        <v>7648.2447190444718</v>
      </c>
      <c r="L15" s="3"/>
      <c r="M15" s="3">
        <f>'Three Statements'!K53</f>
        <v>7912.4120463604013</v>
      </c>
      <c r="N15" s="3">
        <f>'Three Statements'!L53</f>
        <v>8666.7985179187908</v>
      </c>
      <c r="O15" s="3">
        <f>'Three Statements'!M53</f>
        <v>9560.6643711131965</v>
      </c>
      <c r="P15" s="3">
        <f>'Three Statements'!N53</f>
        <v>10619.478768512841</v>
      </c>
      <c r="Q15" s="3">
        <f>'Three Statements'!O53</f>
        <v>0</v>
      </c>
    </row>
    <row r="16" spans="1:23" x14ac:dyDescent="0.3">
      <c r="A16" s="84" t="s">
        <v>129</v>
      </c>
      <c r="B16" s="85">
        <v>0</v>
      </c>
      <c r="C16" s="85">
        <f t="shared" ref="C16:P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/>
      <c r="K16" s="85">
        <f>+IFERROR(K15/I15-1,"nm")</f>
        <v>0.80213117790868793</v>
      </c>
      <c r="L16" s="85"/>
      <c r="M16" s="85">
        <f>+IFERROR(M15/K15-1,"nm")</f>
        <v>3.453960183284166E-2</v>
      </c>
      <c r="N16" s="85">
        <f t="shared" si="1"/>
        <v>9.5342162053529078E-2</v>
      </c>
      <c r="O16" s="85">
        <f t="shared" si="1"/>
        <v>0.10313679859365821</v>
      </c>
      <c r="P16" s="85">
        <f t="shared" si="1"/>
        <v>0.11074694773291793</v>
      </c>
      <c r="Q16" s="86"/>
      <c r="R16" s="87"/>
      <c r="S16" s="87"/>
      <c r="T16" s="87"/>
      <c r="U16" s="87"/>
      <c r="V16" s="87"/>
      <c r="W16" s="87"/>
    </row>
    <row r="17" spans="1:23" x14ac:dyDescent="0.3">
      <c r="A17" t="s">
        <v>244</v>
      </c>
      <c r="B17" s="96">
        <f>(B4*B19)+(B22*B9)</f>
        <v>-2246.1604993815349</v>
      </c>
      <c r="C17" s="96">
        <f t="shared" ref="C17:I17" si="2">(C4*C19)+(C22*C9)</f>
        <v>9873.2506768887943</v>
      </c>
      <c r="D17" s="96">
        <f t="shared" si="2"/>
        <v>148.16197905754092</v>
      </c>
      <c r="E17" s="96">
        <f t="shared" si="2"/>
        <v>-34572.756239882685</v>
      </c>
      <c r="F17" s="96">
        <f t="shared" si="2"/>
        <v>493.05839981513617</v>
      </c>
      <c r="G17" s="96">
        <f t="shared" si="2"/>
        <v>98744.75117583762</v>
      </c>
      <c r="H17" s="96">
        <f t="shared" si="2"/>
        <v>1222.2723122987013</v>
      </c>
      <c r="I17" s="54">
        <f t="shared" si="2"/>
        <v>-370028.47325514926</v>
      </c>
      <c r="J17" t="s">
        <v>270</v>
      </c>
      <c r="L17" t="s">
        <v>245</v>
      </c>
      <c r="M17" s="3"/>
      <c r="N17" s="3"/>
      <c r="O17" s="3"/>
      <c r="P17" s="3"/>
      <c r="Q17" s="3"/>
    </row>
    <row r="18" spans="1:23" x14ac:dyDescent="0.3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L18" s="2" t="s">
        <v>247</v>
      </c>
      <c r="O18" t="s">
        <v>265</v>
      </c>
    </row>
    <row r="19" spans="1:23" x14ac:dyDescent="0.3">
      <c r="A19" s="2" t="s">
        <v>248</v>
      </c>
      <c r="B19" s="88">
        <f>(B20+B18)*(B21-B20)</f>
        <v>-1.5107820000000003E-2</v>
      </c>
      <c r="C19" s="88">
        <f t="shared" ref="C19:I19" si="3">(C20+C18)*(C21-C20)</f>
        <v>4.6828320000000007E-2</v>
      </c>
      <c r="D19" s="88">
        <f t="shared" si="3"/>
        <v>7.568902000000001E-2</v>
      </c>
      <c r="E19" s="88">
        <f t="shared" si="3"/>
        <v>-6.6915450000000001E-2</v>
      </c>
      <c r="F19" s="88">
        <f t="shared" si="3"/>
        <v>0.20271961999999999</v>
      </c>
      <c r="G19" s="88">
        <f t="shared" si="3"/>
        <v>6.0811199999999989E-2</v>
      </c>
      <c r="H19" s="88">
        <f t="shared" si="3"/>
        <v>0.22061504999999998</v>
      </c>
      <c r="I19" s="88">
        <f t="shared" si="3"/>
        <v>-0.21682279999999998</v>
      </c>
      <c r="J19" s="88"/>
      <c r="K19" t="s">
        <v>266</v>
      </c>
      <c r="L19" s="2" t="s">
        <v>249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3">
      <c r="A20" s="2" t="s">
        <v>250</v>
      </c>
      <c r="B20" s="88">
        <v>2.3E-2</v>
      </c>
      <c r="C20" s="96">
        <v>2.5999999999999999E-2</v>
      </c>
      <c r="D20" s="96">
        <v>2.35E-2</v>
      </c>
      <c r="E20" s="96">
        <v>2.86E-2</v>
      </c>
      <c r="F20" s="96">
        <v>1.89E-2</v>
      </c>
      <c r="G20" s="96">
        <v>9.1999999999999998E-2</v>
      </c>
      <c r="H20" s="96">
        <v>1.44E-2</v>
      </c>
      <c r="I20" s="88">
        <v>3.4799999999999998E-2</v>
      </c>
      <c r="J20" s="88"/>
      <c r="K20" t="s">
        <v>269</v>
      </c>
      <c r="L20" s="89" t="s">
        <v>251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3">
      <c r="A21" s="2" t="s">
        <v>252</v>
      </c>
      <c r="B21" s="88">
        <v>4.7999999999999996E-3</v>
      </c>
      <c r="C21" s="88">
        <v>9.8400000000000001E-2</v>
      </c>
      <c r="D21" s="88">
        <v>0.18740000000000001</v>
      </c>
      <c r="E21" s="88">
        <v>-6.59E-2</v>
      </c>
      <c r="F21" s="96">
        <v>0.30430000000000001</v>
      </c>
      <c r="G21" s="96">
        <v>0.15759999999999999</v>
      </c>
      <c r="H21" s="96">
        <v>0.2661</v>
      </c>
      <c r="I21" s="88">
        <v>-0.1832</v>
      </c>
      <c r="J21" s="88" t="s">
        <v>273</v>
      </c>
      <c r="K21" s="2" t="s">
        <v>253</v>
      </c>
      <c r="L21" s="2" t="s">
        <v>253</v>
      </c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3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s="88"/>
      <c r="K22" t="s">
        <v>267</v>
      </c>
      <c r="L22" t="s">
        <v>255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3">
      <c r="A23" s="2" t="s">
        <v>256</v>
      </c>
      <c r="B23" s="88">
        <f>('Three Statements'!B33+'Three Statements'!B34+'Three Statements'!B35+'Three Statements'!B36+'Three Statements'!B37+'Three Statements'!B38)/'Three Statements'!B31</f>
        <v>0.34722079523271343</v>
      </c>
      <c r="C23" s="88">
        <f>('Three Statements'!C33+'Three Statements'!C34+'Three Statements'!C35+'Three Statements'!C36+'Three Statements'!C37+'Three Statements'!C38)/'Three Statements'!C31</f>
        <v>0.36172871648008331</v>
      </c>
      <c r="D23" s="88">
        <f>('Three Statements'!D33+'Three Statements'!D34+'Three Statements'!D35+'Three Statements'!D36+'Three Statements'!D37+'Three Statements'!D38)/'Three Statements'!D31</f>
        <v>0.41506765357597475</v>
      </c>
      <c r="E23" s="88">
        <f>('Three Statements'!E33+'Three Statements'!E34+'Three Statements'!E35+'Three Statements'!E36+'Three Statements'!E37+'Three Statements'!E38)/'Three Statements'!E31</f>
        <v>0.51562422866169721</v>
      </c>
      <c r="F23" s="88">
        <f>('Three Statements'!F33+'Three Statements'!F34+'Three Statements'!F35+'Three Statements'!F36+'Three Statements'!F37+'Three Statements'!F38)/'Three Statements'!F31</f>
        <v>0.57166548211324331</v>
      </c>
      <c r="G23" s="88">
        <f>('Three Statements'!G33+'Three Statements'!G34+'Three Statements'!G35+'Three Statements'!G36+'Three Statements'!G37+'Three Statements'!G38)/'Three Statements'!G31</f>
        <v>0.72313879150340277</v>
      </c>
      <c r="H23" s="88">
        <f>('Three Statements'!H33+'Three Statements'!H34+'Three Statements'!H35+'Three Statements'!H36+'Three Statements'!H37+'Three Statements'!H38)/'Three Statements'!H31</f>
        <v>0.63422530369012142</v>
      </c>
      <c r="I23" s="88">
        <f>('Three Statements'!I33+'Three Statements'!I34+'Three Statements'!I35+'Three Statements'!I36+'Three Statements'!I37+'Three Statements'!I38)/'Three Statements'!I31</f>
        <v>0.58658658658658658</v>
      </c>
      <c r="J23" s="88" t="s">
        <v>271</v>
      </c>
      <c r="K23" t="s">
        <v>268</v>
      </c>
      <c r="L23" t="s">
        <v>255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3">
      <c r="A24" t="s">
        <v>257</v>
      </c>
      <c r="L24" t="s">
        <v>258</v>
      </c>
      <c r="M24" s="3"/>
      <c r="N24" s="3"/>
      <c r="O24" s="3"/>
      <c r="P24" s="3"/>
      <c r="Q24" s="3"/>
    </row>
    <row r="25" spans="1:23" ht="15" thickBot="1" x14ac:dyDescent="0.35">
      <c r="M25" s="3"/>
      <c r="N25" s="3"/>
      <c r="O25" s="3"/>
      <c r="P25" s="3"/>
      <c r="Q25" s="3"/>
    </row>
    <row r="26" spans="1:23" x14ac:dyDescent="0.3">
      <c r="A26" s="90" t="s">
        <v>259</v>
      </c>
      <c r="B26" s="91">
        <f>B15/B17-B16</f>
        <v>-2.0715349598931918</v>
      </c>
      <c r="C26" s="91">
        <f>(C15/C17-C16)*2</f>
        <v>0.77687221675479678</v>
      </c>
      <c r="D26" s="91">
        <f>(D15/D17-D16)*3</f>
        <v>94.010397203924157</v>
      </c>
      <c r="E26" s="91">
        <f>(E15/E17-E16)*4</f>
        <v>-0.87913093766207018</v>
      </c>
      <c r="F26" s="91">
        <f>(F15/F17-F16)*5</f>
        <v>42.564589026660052</v>
      </c>
      <c r="G26" s="91">
        <f>(G15/G17-G16)*6</f>
        <v>2.8172842852398228</v>
      </c>
      <c r="H26" s="91">
        <f>(H15/H17-H16)*7</f>
        <v>21.203907860663044</v>
      </c>
      <c r="I26" s="91">
        <f>(I15/I17-I16)*8</f>
        <v>1.5703692221434156</v>
      </c>
      <c r="J26" s="98"/>
      <c r="M26" s="3"/>
      <c r="N26" s="3"/>
      <c r="O26" s="3"/>
      <c r="P26" s="3"/>
      <c r="Q26" s="3"/>
    </row>
    <row r="27" spans="1:23" x14ac:dyDescent="0.3">
      <c r="A27" s="92" t="s">
        <v>260</v>
      </c>
      <c r="B27" s="97">
        <f>B4/B17</f>
        <v>-66.191201626480805</v>
      </c>
      <c r="C27" s="97">
        <f>(C4/C17)*2</f>
        <v>42.709110079323622</v>
      </c>
      <c r="D27" s="97">
        <f>(D4/D17)*3</f>
        <v>39.630376412018833</v>
      </c>
      <c r="E27" s="97">
        <f>(E4/E17)*4</f>
        <v>-59.777067401294723</v>
      </c>
      <c r="F27" s="97">
        <f>(F4/F17)*5</f>
        <v>24.663381669512916</v>
      </c>
      <c r="G27" s="97">
        <f>(G4/G17)*6</f>
        <v>98.666015904488972</v>
      </c>
      <c r="H27" s="97">
        <f>(H4/H17)*7</f>
        <v>31.728668761545126</v>
      </c>
      <c r="I27" s="97">
        <f>(I4/I17)*8</f>
        <v>-36.896490369771868</v>
      </c>
      <c r="J27" s="99"/>
      <c r="M27" s="3"/>
      <c r="N27" s="3"/>
      <c r="O27" s="3"/>
      <c r="P27" s="3"/>
      <c r="Q27" s="3"/>
    </row>
    <row r="28" spans="1:23" x14ac:dyDescent="0.3">
      <c r="A28" s="92" t="s">
        <v>261</v>
      </c>
      <c r="B28" s="97">
        <f>B26+B27</f>
        <v>-68.26273658637399</v>
      </c>
      <c r="C28" s="97">
        <f t="shared" ref="C28:I28" si="4">C26+C27</f>
        <v>43.485982296078419</v>
      </c>
      <c r="D28" s="97">
        <f t="shared" si="4"/>
        <v>133.64077361594298</v>
      </c>
      <c r="E28" s="97">
        <f t="shared" si="4"/>
        <v>-60.656198338956791</v>
      </c>
      <c r="F28" s="97">
        <f t="shared" si="4"/>
        <v>67.227970696172974</v>
      </c>
      <c r="G28" s="97">
        <f t="shared" si="4"/>
        <v>101.48330018972879</v>
      </c>
      <c r="H28" s="97">
        <f t="shared" si="4"/>
        <v>52.932576622208174</v>
      </c>
      <c r="I28" s="97">
        <f t="shared" si="4"/>
        <v>-35.326121147628456</v>
      </c>
      <c r="J28" s="99"/>
    </row>
    <row r="29" spans="1:23" x14ac:dyDescent="0.3">
      <c r="A29" s="92" t="s">
        <v>262</v>
      </c>
      <c r="B29" s="93"/>
    </row>
    <row r="30" spans="1:23" x14ac:dyDescent="0.3">
      <c r="A30" s="92" t="s">
        <v>263</v>
      </c>
      <c r="B30" s="93"/>
    </row>
    <row r="31" spans="1:23" ht="15" thickBot="1" x14ac:dyDescent="0.35">
      <c r="A31" s="94" t="s">
        <v>264</v>
      </c>
      <c r="B31" s="95"/>
    </row>
  </sheetData>
  <hyperlinks>
    <hyperlink ref="L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2024-01-31T16:52:39Z</dcterms:modified>
</cp:coreProperties>
</file>