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D4EF75A4-6C81-4AE8-91E4-C358B43AE7E7}" xr6:coauthVersionLast="47" xr6:coauthVersionMax="47" xr10:uidLastSave="{00000000-0000-0000-0000-000000000000}"/>
  <bookViews>
    <workbookView xWindow="-108" yWindow="-108" windowWidth="23256" windowHeight="13896" tabRatio="500" activeTab="2" xr2:uid="{00000000-000D-0000-FFFF-FFFF00000000}"/>
  </bookViews>
  <sheets>
    <sheet name="Sheet1" sheetId="1" r:id="rId1"/>
    <sheet name="Historicals" sheetId="2" r:id="rId2"/>
    <sheet name="Segmental forecast" sheetId="3" r:id="rId3"/>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68" i="3" l="1"/>
  <c r="K68" i="3" s="1"/>
  <c r="H68" i="3"/>
  <c r="G68" i="3"/>
  <c r="F68" i="3"/>
  <c r="E68" i="3"/>
  <c r="D68" i="3"/>
  <c r="C68" i="3"/>
  <c r="D69" i="3" s="1"/>
  <c r="B68" i="3"/>
  <c r="G67" i="3"/>
  <c r="F67" i="3"/>
  <c r="I65" i="3"/>
  <c r="H65" i="3"/>
  <c r="G65" i="3"/>
  <c r="H66" i="3" s="1"/>
  <c r="F65" i="3"/>
  <c r="F66" i="3" s="1"/>
  <c r="E65" i="3"/>
  <c r="E67" i="3" s="1"/>
  <c r="D65" i="3"/>
  <c r="C65" i="3"/>
  <c r="C66" i="3" s="1"/>
  <c r="B65" i="3"/>
  <c r="K62" i="3"/>
  <c r="I62" i="3"/>
  <c r="H62" i="3"/>
  <c r="I63" i="3" s="1"/>
  <c r="G62" i="3"/>
  <c r="F62" i="3"/>
  <c r="E62" i="3"/>
  <c r="D62" i="3"/>
  <c r="E63" i="3" s="1"/>
  <c r="C62" i="3"/>
  <c r="C59" i="3" s="1"/>
  <c r="B62" i="3"/>
  <c r="J59" i="3"/>
  <c r="I59" i="3"/>
  <c r="I61" i="3" s="1"/>
  <c r="H59" i="3"/>
  <c r="E59" i="3"/>
  <c r="E60" i="3" s="1"/>
  <c r="D59" i="3"/>
  <c r="K58" i="3"/>
  <c r="I57" i="3"/>
  <c r="F57" i="3"/>
  <c r="B57" i="3"/>
  <c r="L55" i="3"/>
  <c r="I55" i="3"/>
  <c r="H55" i="3"/>
  <c r="G55" i="3"/>
  <c r="G56" i="3" s="1"/>
  <c r="F55" i="3"/>
  <c r="E55" i="3"/>
  <c r="F56" i="3" s="1"/>
  <c r="D55" i="3"/>
  <c r="C55" i="3"/>
  <c r="D56" i="3" s="1"/>
  <c r="I53" i="3"/>
  <c r="H53" i="3"/>
  <c r="H54" i="3" s="1"/>
  <c r="F53" i="3"/>
  <c r="F54" i="3" s="1"/>
  <c r="G52" i="3"/>
  <c r="G54" i="3" s="1"/>
  <c r="E52" i="3"/>
  <c r="D52" i="3"/>
  <c r="I51" i="3"/>
  <c r="H51" i="3"/>
  <c r="H52" i="3" s="1"/>
  <c r="G51" i="3"/>
  <c r="F51" i="3"/>
  <c r="F52" i="3" s="1"/>
  <c r="E51" i="3"/>
  <c r="D51" i="3"/>
  <c r="C51" i="3"/>
  <c r="B51" i="3"/>
  <c r="C52" i="3" s="1"/>
  <c r="J50" i="3"/>
  <c r="I49" i="3"/>
  <c r="H49" i="3"/>
  <c r="F49" i="3"/>
  <c r="D49" i="3"/>
  <c r="B49" i="3"/>
  <c r="H48" i="3"/>
  <c r="H50" i="3" s="1"/>
  <c r="I47" i="3"/>
  <c r="H47" i="3"/>
  <c r="I48" i="3" s="1"/>
  <c r="I50" i="3" s="1"/>
  <c r="G47" i="3"/>
  <c r="F47" i="3"/>
  <c r="F48" i="3" s="1"/>
  <c r="E47" i="3"/>
  <c r="D47" i="3"/>
  <c r="C47" i="3"/>
  <c r="I46" i="3"/>
  <c r="E46" i="3"/>
  <c r="D46" i="3"/>
  <c r="A44" i="3"/>
  <c r="I41" i="3"/>
  <c r="I43" i="3" s="1"/>
  <c r="H41" i="3"/>
  <c r="G41" i="3"/>
  <c r="G43" i="3" s="1"/>
  <c r="F41" i="3"/>
  <c r="E41" i="3"/>
  <c r="D41" i="3"/>
  <c r="D42" i="3" s="1"/>
  <c r="C41" i="3"/>
  <c r="C43" i="3" s="1"/>
  <c r="B41" i="3"/>
  <c r="C42" i="3" s="1"/>
  <c r="I40" i="3"/>
  <c r="G40" i="3"/>
  <c r="H39" i="3"/>
  <c r="F39" i="3"/>
  <c r="E39" i="3"/>
  <c r="D39" i="3"/>
  <c r="B39" i="3"/>
  <c r="I38" i="3"/>
  <c r="H38" i="3"/>
  <c r="G38" i="3"/>
  <c r="F38" i="3"/>
  <c r="F40" i="3" s="1"/>
  <c r="E38" i="3"/>
  <c r="E32" i="3" s="1"/>
  <c r="D38" i="3"/>
  <c r="C38" i="3"/>
  <c r="C39" i="3" s="1"/>
  <c r="B38" i="3"/>
  <c r="B40" i="3" s="1"/>
  <c r="G37" i="3"/>
  <c r="F37" i="3"/>
  <c r="G36" i="3"/>
  <c r="I35" i="3"/>
  <c r="H35" i="3"/>
  <c r="G35" i="3"/>
  <c r="F35" i="3"/>
  <c r="F36" i="3" s="1"/>
  <c r="E35" i="3"/>
  <c r="D35" i="3"/>
  <c r="C35" i="3"/>
  <c r="C37" i="3" s="1"/>
  <c r="B35" i="3"/>
  <c r="B32" i="3" s="1"/>
  <c r="G34" i="3"/>
  <c r="I32" i="3"/>
  <c r="G32" i="3"/>
  <c r="D32" i="3"/>
  <c r="E31" i="3"/>
  <c r="D31" i="3"/>
  <c r="I30" i="3"/>
  <c r="F30" i="3"/>
  <c r="D30" i="3"/>
  <c r="G29" i="3"/>
  <c r="G31" i="3" s="1"/>
  <c r="E29" i="3"/>
  <c r="D29" i="3"/>
  <c r="C29" i="3"/>
  <c r="C31" i="3" s="1"/>
  <c r="I28" i="3"/>
  <c r="H28" i="3"/>
  <c r="G28" i="3"/>
  <c r="F28" i="3"/>
  <c r="E28" i="3"/>
  <c r="D28" i="3"/>
  <c r="C28" i="3"/>
  <c r="B28" i="3"/>
  <c r="B29" i="3" s="1"/>
  <c r="D27" i="3"/>
  <c r="I26" i="3"/>
  <c r="H26" i="3"/>
  <c r="B26" i="3"/>
  <c r="F25" i="3"/>
  <c r="D25" i="3"/>
  <c r="I24" i="3"/>
  <c r="I25" i="3" s="1"/>
  <c r="H24" i="3"/>
  <c r="G24" i="3"/>
  <c r="F24" i="3"/>
  <c r="E24" i="3"/>
  <c r="D24" i="3"/>
  <c r="C24" i="3"/>
  <c r="C25" i="3" s="1"/>
  <c r="B24" i="3"/>
  <c r="B25" i="3" s="1"/>
  <c r="B27" i="3" s="1"/>
  <c r="N23" i="3"/>
  <c r="M23" i="3"/>
  <c r="L23" i="3"/>
  <c r="K23" i="3"/>
  <c r="I23" i="3"/>
  <c r="G23" i="3"/>
  <c r="E23" i="3"/>
  <c r="I22" i="3"/>
  <c r="F22" i="3"/>
  <c r="I21" i="3"/>
  <c r="H21" i="3"/>
  <c r="H23" i="3" s="1"/>
  <c r="G21" i="3"/>
  <c r="F21" i="3"/>
  <c r="F23" i="3" s="1"/>
  <c r="E21" i="3"/>
  <c r="C21" i="3"/>
  <c r="C23" i="3" s="1"/>
  <c r="B21" i="3"/>
  <c r="B23" i="3" s="1"/>
  <c r="J20" i="3"/>
  <c r="K20" i="3" s="1"/>
  <c r="L20" i="3" s="1"/>
  <c r="M20" i="3" s="1"/>
  <c r="N20" i="3" s="1"/>
  <c r="I20" i="3"/>
  <c r="H20" i="3"/>
  <c r="G20" i="3"/>
  <c r="F20" i="3"/>
  <c r="E20" i="3"/>
  <c r="D20" i="3"/>
  <c r="C20" i="3"/>
  <c r="B20" i="3"/>
  <c r="G19" i="3"/>
  <c r="E19" i="3"/>
  <c r="C19" i="3"/>
  <c r="I18" i="3"/>
  <c r="G18" i="3"/>
  <c r="F18" i="3"/>
  <c r="E18" i="3"/>
  <c r="E43" i="3" s="1"/>
  <c r="D18" i="3"/>
  <c r="C18" i="3"/>
  <c r="B18" i="3"/>
  <c r="A17" i="3"/>
  <c r="I16" i="3"/>
  <c r="H16" i="3"/>
  <c r="G16" i="3"/>
  <c r="F16" i="3"/>
  <c r="D16" i="3"/>
  <c r="C16" i="3"/>
  <c r="B16" i="3"/>
  <c r="N15" i="3"/>
  <c r="M15" i="3"/>
  <c r="L15" i="3"/>
  <c r="K15" i="3"/>
  <c r="J15" i="3"/>
  <c r="I15" i="3"/>
  <c r="H15" i="3"/>
  <c r="G15" i="3"/>
  <c r="F15" i="3"/>
  <c r="E15" i="3"/>
  <c r="D15" i="3"/>
  <c r="C15" i="3"/>
  <c r="B15" i="3"/>
  <c r="I13" i="3"/>
  <c r="H13" i="3"/>
  <c r="F13" i="3"/>
  <c r="D13" i="3"/>
  <c r="C13" i="3"/>
  <c r="B13" i="3"/>
  <c r="N12" i="3"/>
  <c r="M12" i="3"/>
  <c r="L12" i="3"/>
  <c r="K12" i="3"/>
  <c r="J12" i="3"/>
  <c r="I12" i="3"/>
  <c r="H12" i="3"/>
  <c r="G12" i="3"/>
  <c r="F12" i="3"/>
  <c r="E12" i="3"/>
  <c r="D12" i="3"/>
  <c r="C12" i="3"/>
  <c r="B12" i="3"/>
  <c r="I10" i="3"/>
  <c r="H10" i="3"/>
  <c r="F10" i="3"/>
  <c r="D10" i="3"/>
  <c r="C10" i="3"/>
  <c r="B10" i="3"/>
  <c r="I9" i="3"/>
  <c r="H9" i="3"/>
  <c r="G9" i="3"/>
  <c r="F9" i="3"/>
  <c r="E9" i="3"/>
  <c r="D9" i="3"/>
  <c r="C9" i="3"/>
  <c r="B9" i="3"/>
  <c r="J8" i="3"/>
  <c r="G7" i="3"/>
  <c r="F7" i="3"/>
  <c r="E7" i="3"/>
  <c r="C7" i="3"/>
  <c r="G6" i="3"/>
  <c r="B6" i="3"/>
  <c r="I5" i="3"/>
  <c r="H5" i="3"/>
  <c r="G5" i="3"/>
  <c r="F5" i="3"/>
  <c r="E5" i="3"/>
  <c r="E6" i="3" s="1"/>
  <c r="D5" i="3"/>
  <c r="D7" i="3" s="1"/>
  <c r="C5" i="3"/>
  <c r="B5" i="3"/>
  <c r="B7" i="3" s="1"/>
  <c r="L4" i="3"/>
  <c r="M4" i="3" s="1"/>
  <c r="G4" i="3"/>
  <c r="F4" i="3"/>
  <c r="C4" i="3"/>
  <c r="K4" i="3" s="1"/>
  <c r="J3" i="3"/>
  <c r="J16" i="3" s="1"/>
  <c r="G3" i="3"/>
  <c r="E3" i="3"/>
  <c r="J1" i="3"/>
  <c r="K1" i="3" s="1"/>
  <c r="L1" i="3" s="1"/>
  <c r="M1" i="3" s="1"/>
  <c r="N1" i="3" s="1"/>
  <c r="H1" i="3"/>
  <c r="G1" i="3"/>
  <c r="F1" i="3" s="1"/>
  <c r="E1" i="3" s="1"/>
  <c r="D1" i="3" s="1"/>
  <c r="C1" i="3" s="1"/>
  <c r="B1" i="3" s="1"/>
  <c r="B203" i="2"/>
  <c r="H202" i="2"/>
  <c r="G202" i="2"/>
  <c r="F202" i="2"/>
  <c r="E202" i="2"/>
  <c r="D202" i="2"/>
  <c r="C202" i="2"/>
  <c r="B202" i="2"/>
  <c r="H201" i="2"/>
  <c r="G201" i="2"/>
  <c r="F201" i="2"/>
  <c r="E201" i="2"/>
  <c r="D201" i="2"/>
  <c r="C201" i="2"/>
  <c r="B201" i="2"/>
  <c r="H200" i="2"/>
  <c r="G200" i="2"/>
  <c r="F200" i="2"/>
  <c r="E200" i="2"/>
  <c r="D200" i="2"/>
  <c r="C200" i="2"/>
  <c r="B200" i="2"/>
  <c r="H199" i="2"/>
  <c r="G199" i="2"/>
  <c r="F199" i="2"/>
  <c r="E199" i="2"/>
  <c r="D199" i="2"/>
  <c r="C199" i="2"/>
  <c r="B199" i="2"/>
  <c r="H198" i="2"/>
  <c r="G198" i="2"/>
  <c r="F198" i="2"/>
  <c r="E198" i="2"/>
  <c r="D198" i="2"/>
  <c r="C198" i="2"/>
  <c r="B198" i="2"/>
  <c r="H197" i="2"/>
  <c r="G197" i="2"/>
  <c r="F197" i="2"/>
  <c r="E197" i="2"/>
  <c r="D197" i="2"/>
  <c r="C197" i="2"/>
  <c r="B197" i="2"/>
  <c r="B196" i="2"/>
  <c r="H195" i="2"/>
  <c r="G195" i="2"/>
  <c r="F195" i="2"/>
  <c r="E195" i="2"/>
  <c r="D195" i="2"/>
  <c r="C195" i="2"/>
  <c r="B195" i="2"/>
  <c r="H194" i="2"/>
  <c r="G194" i="2"/>
  <c r="F194" i="2"/>
  <c r="E194" i="2"/>
  <c r="D194" i="2"/>
  <c r="C194" i="2"/>
  <c r="B194" i="2"/>
  <c r="H193" i="2"/>
  <c r="G193" i="2"/>
  <c r="F193" i="2"/>
  <c r="E193" i="2"/>
  <c r="D193" i="2"/>
  <c r="C193" i="2"/>
  <c r="B193" i="2"/>
  <c r="H192" i="2"/>
  <c r="G192" i="2"/>
  <c r="F192" i="2"/>
  <c r="E192" i="2"/>
  <c r="D192" i="2"/>
  <c r="C192" i="2"/>
  <c r="B192" i="2"/>
  <c r="H191" i="2"/>
  <c r="B191" i="2"/>
  <c r="H190" i="2"/>
  <c r="G190" i="2"/>
  <c r="F190" i="2"/>
  <c r="E190" i="2"/>
  <c r="D190" i="2"/>
  <c r="C190" i="2"/>
  <c r="B190" i="2"/>
  <c r="H189" i="2"/>
  <c r="G189" i="2"/>
  <c r="F189" i="2"/>
  <c r="E189" i="2"/>
  <c r="D189" i="2"/>
  <c r="C189" i="2"/>
  <c r="B189" i="2"/>
  <c r="H188" i="2"/>
  <c r="G188" i="2"/>
  <c r="F188" i="2"/>
  <c r="E188" i="2"/>
  <c r="D188" i="2"/>
  <c r="C188" i="2"/>
  <c r="B188" i="2"/>
  <c r="H187" i="2"/>
  <c r="G187" i="2"/>
  <c r="F187" i="2"/>
  <c r="E187" i="2"/>
  <c r="D187" i="2"/>
  <c r="C187" i="2"/>
  <c r="B187" i="2"/>
  <c r="H186" i="2"/>
  <c r="H57" i="3" s="1"/>
  <c r="G186" i="2"/>
  <c r="G57" i="3" s="1"/>
  <c r="F186" i="2"/>
  <c r="E186" i="2"/>
  <c r="E57" i="3" s="1"/>
  <c r="D186" i="2"/>
  <c r="D57" i="3" s="1"/>
  <c r="B186" i="2"/>
  <c r="H185" i="2"/>
  <c r="G185" i="2"/>
  <c r="G53" i="3" s="1"/>
  <c r="F185" i="2"/>
  <c r="E185" i="2"/>
  <c r="E53" i="3" s="1"/>
  <c r="D185" i="2"/>
  <c r="D53" i="3" s="1"/>
  <c r="C185" i="2"/>
  <c r="C53" i="3" s="1"/>
  <c r="B185" i="2"/>
  <c r="B53" i="3" s="1"/>
  <c r="J53" i="3" s="1"/>
  <c r="H184" i="2"/>
  <c r="G184" i="2"/>
  <c r="F184" i="2"/>
  <c r="F26" i="3" s="1"/>
  <c r="E184" i="2"/>
  <c r="E49" i="3" s="1"/>
  <c r="D184" i="2"/>
  <c r="D26" i="3" s="1"/>
  <c r="B184" i="2"/>
  <c r="H183" i="2"/>
  <c r="H46" i="3" s="1"/>
  <c r="G183" i="2"/>
  <c r="G46" i="3" s="1"/>
  <c r="F183" i="2"/>
  <c r="F46" i="3" s="1"/>
  <c r="E183" i="2"/>
  <c r="D183" i="2"/>
  <c r="B183" i="2"/>
  <c r="B46" i="3" s="1"/>
  <c r="H182" i="2"/>
  <c r="H30" i="3" s="1"/>
  <c r="G182" i="2"/>
  <c r="G30" i="3" s="1"/>
  <c r="F182" i="2"/>
  <c r="E182" i="2"/>
  <c r="E30" i="3" s="1"/>
  <c r="D182" i="2"/>
  <c r="C182" i="2"/>
  <c r="C30" i="3" s="1"/>
  <c r="B182" i="2"/>
  <c r="B30" i="3" s="1"/>
  <c r="H181" i="2"/>
  <c r="G181" i="2"/>
  <c r="F181" i="2"/>
  <c r="E181" i="2"/>
  <c r="D181" i="2"/>
  <c r="C181" i="2"/>
  <c r="B181" i="2"/>
  <c r="H180" i="2"/>
  <c r="H22" i="3" s="1"/>
  <c r="G180" i="2"/>
  <c r="G22" i="3" s="1"/>
  <c r="F180" i="2"/>
  <c r="E180" i="2"/>
  <c r="E22" i="3" s="1"/>
  <c r="D180" i="2"/>
  <c r="D22" i="3" s="1"/>
  <c r="C180" i="2"/>
  <c r="C22" i="3" s="1"/>
  <c r="B180" i="2"/>
  <c r="B22" i="3" s="1"/>
  <c r="G179" i="2"/>
  <c r="F179" i="2"/>
  <c r="E179" i="2"/>
  <c r="D179" i="2"/>
  <c r="C179" i="2"/>
  <c r="B179" i="2"/>
  <c r="E176" i="2"/>
  <c r="D176" i="2"/>
  <c r="I175" i="2"/>
  <c r="I176" i="2" s="1"/>
  <c r="H175" i="2"/>
  <c r="H176" i="2" s="1"/>
  <c r="F175" i="2"/>
  <c r="F176" i="2" s="1"/>
  <c r="C175" i="2"/>
  <c r="C176" i="2" s="1"/>
  <c r="I172" i="2"/>
  <c r="H172" i="2"/>
  <c r="G172" i="2"/>
  <c r="G175" i="2" s="1"/>
  <c r="G176" i="2" s="1"/>
  <c r="F172" i="2"/>
  <c r="E172" i="2"/>
  <c r="E175" i="2" s="1"/>
  <c r="D172" i="2"/>
  <c r="D175" i="2" s="1"/>
  <c r="C172" i="2"/>
  <c r="B172" i="2"/>
  <c r="B175" i="2" s="1"/>
  <c r="B176" i="2" s="1"/>
  <c r="I164" i="2"/>
  <c r="I165" i="2" s="1"/>
  <c r="H164" i="2"/>
  <c r="H165" i="2" s="1"/>
  <c r="F164" i="2"/>
  <c r="F165" i="2" s="1"/>
  <c r="D164" i="2"/>
  <c r="D165" i="2" s="1"/>
  <c r="B164" i="2"/>
  <c r="B165" i="2" s="1"/>
  <c r="I163" i="2"/>
  <c r="B163" i="2"/>
  <c r="I161" i="2"/>
  <c r="H161" i="2"/>
  <c r="H163" i="2" s="1"/>
  <c r="G161" i="2"/>
  <c r="F161" i="2"/>
  <c r="F163" i="2" s="1"/>
  <c r="E161" i="2"/>
  <c r="D161" i="2"/>
  <c r="D163" i="2" s="1"/>
  <c r="C161" i="2"/>
  <c r="C163" i="2" s="1"/>
  <c r="C164" i="2" s="1"/>
  <c r="C165" i="2" s="1"/>
  <c r="B161" i="2"/>
  <c r="C154" i="2"/>
  <c r="I153" i="2"/>
  <c r="I154" i="2" s="1"/>
  <c r="H153" i="2"/>
  <c r="H154" i="2" s="1"/>
  <c r="F153" i="2"/>
  <c r="F154" i="2" s="1"/>
  <c r="D153" i="2"/>
  <c r="D154" i="2" s="1"/>
  <c r="I150" i="2"/>
  <c r="H150" i="2"/>
  <c r="G150" i="2"/>
  <c r="G153" i="2" s="1"/>
  <c r="G154" i="2" s="1"/>
  <c r="F150" i="2"/>
  <c r="E150" i="2"/>
  <c r="E153" i="2" s="1"/>
  <c r="E154" i="2" s="1"/>
  <c r="D150" i="2"/>
  <c r="C150" i="2"/>
  <c r="C153" i="2" s="1"/>
  <c r="B150" i="2"/>
  <c r="B153" i="2" s="1"/>
  <c r="B154" i="2" s="1"/>
  <c r="H143" i="2"/>
  <c r="I142" i="2"/>
  <c r="F142" i="2"/>
  <c r="E142" i="2"/>
  <c r="D142" i="2"/>
  <c r="D143" i="2" s="1"/>
  <c r="B142" i="2"/>
  <c r="B143" i="2" s="1"/>
  <c r="I139" i="2"/>
  <c r="H139" i="2"/>
  <c r="H142" i="2" s="1"/>
  <c r="G139" i="2"/>
  <c r="G142" i="2" s="1"/>
  <c r="F139" i="2"/>
  <c r="E139" i="2"/>
  <c r="D139" i="2"/>
  <c r="C139" i="2"/>
  <c r="C142" i="2" s="1"/>
  <c r="B139" i="2"/>
  <c r="C132" i="2"/>
  <c r="I125" i="2"/>
  <c r="H125" i="2"/>
  <c r="G124" i="2"/>
  <c r="F124" i="2"/>
  <c r="E124" i="2"/>
  <c r="C124" i="2"/>
  <c r="C131" i="2" s="1"/>
  <c r="I119" i="2"/>
  <c r="H119" i="2"/>
  <c r="G119" i="2"/>
  <c r="G191" i="2" s="1"/>
  <c r="F119" i="2"/>
  <c r="E119" i="2"/>
  <c r="D119" i="2"/>
  <c r="C119" i="2"/>
  <c r="B119" i="2"/>
  <c r="I115" i="2"/>
  <c r="I124" i="2" s="1"/>
  <c r="I131" i="2" s="1"/>
  <c r="B132" i="2" s="1"/>
  <c r="H115" i="2"/>
  <c r="B114" i="2"/>
  <c r="B113" i="2"/>
  <c r="B112" i="2"/>
  <c r="B47" i="3" s="1"/>
  <c r="B48" i="3" s="1"/>
  <c r="I111" i="2"/>
  <c r="I45" i="3" s="1"/>
  <c r="I64" i="3" s="1"/>
  <c r="H111" i="2"/>
  <c r="H45" i="3" s="1"/>
  <c r="H64" i="3" s="1"/>
  <c r="G111" i="2"/>
  <c r="G45" i="3" s="1"/>
  <c r="F111" i="2"/>
  <c r="F45" i="3" s="1"/>
  <c r="E111" i="2"/>
  <c r="E45" i="3" s="1"/>
  <c r="D111" i="2"/>
  <c r="C111" i="2"/>
  <c r="I107" i="2"/>
  <c r="H107" i="2"/>
  <c r="H18" i="3" s="1"/>
  <c r="G97" i="2"/>
  <c r="F97" i="2"/>
  <c r="E97" i="2"/>
  <c r="D97" i="2"/>
  <c r="C97" i="2"/>
  <c r="B97" i="2"/>
  <c r="I92" i="2"/>
  <c r="H92" i="2"/>
  <c r="G92" i="2"/>
  <c r="F92" i="2"/>
  <c r="E92" i="2"/>
  <c r="D92" i="2"/>
  <c r="C92" i="2"/>
  <c r="B92" i="2"/>
  <c r="I83" i="2"/>
  <c r="H83" i="2"/>
  <c r="G83" i="2"/>
  <c r="F83" i="2"/>
  <c r="E83" i="2"/>
  <c r="D83" i="2"/>
  <c r="C83" i="2"/>
  <c r="B83" i="2"/>
  <c r="G76" i="2"/>
  <c r="F76" i="2"/>
  <c r="F94" i="2" s="1"/>
  <c r="E76" i="2"/>
  <c r="D76" i="2"/>
  <c r="C76" i="2"/>
  <c r="B76" i="2"/>
  <c r="B94" i="2" s="1"/>
  <c r="G60" i="2"/>
  <c r="F60" i="2"/>
  <c r="E60" i="2"/>
  <c r="H59" i="2"/>
  <c r="B59" i="2"/>
  <c r="B60" i="2" s="1"/>
  <c r="I58" i="2"/>
  <c r="I59" i="2" s="1"/>
  <c r="I60" i="2" s="1"/>
  <c r="H58" i="2"/>
  <c r="G58" i="2"/>
  <c r="G59" i="2" s="1"/>
  <c r="F58" i="2"/>
  <c r="E58" i="2"/>
  <c r="E59" i="2" s="1"/>
  <c r="D58" i="2"/>
  <c r="D59" i="2" s="1"/>
  <c r="D60" i="2" s="1"/>
  <c r="C58" i="2"/>
  <c r="B58" i="2"/>
  <c r="I45" i="2"/>
  <c r="H45" i="2"/>
  <c r="G45" i="2"/>
  <c r="F45" i="2"/>
  <c r="F59" i="2" s="1"/>
  <c r="E45" i="2"/>
  <c r="D45" i="2"/>
  <c r="C45" i="2"/>
  <c r="C59" i="2" s="1"/>
  <c r="C60" i="2" s="1"/>
  <c r="B45" i="2"/>
  <c r="I36" i="2"/>
  <c r="H36" i="2"/>
  <c r="F36" i="2"/>
  <c r="B36" i="2"/>
  <c r="I30" i="2"/>
  <c r="H30" i="2"/>
  <c r="G30" i="2"/>
  <c r="G36" i="2" s="1"/>
  <c r="F30" i="2"/>
  <c r="E30" i="2"/>
  <c r="E36" i="2" s="1"/>
  <c r="D30" i="2"/>
  <c r="D36" i="2" s="1"/>
  <c r="C30" i="2"/>
  <c r="C36" i="2" s="1"/>
  <c r="B30" i="2"/>
  <c r="I12" i="2"/>
  <c r="H12" i="2"/>
  <c r="D10" i="2"/>
  <c r="D12" i="2" s="1"/>
  <c r="D20" i="2" s="1"/>
  <c r="I7" i="2"/>
  <c r="I10" i="2" s="1"/>
  <c r="I143" i="2" s="1"/>
  <c r="H7" i="2"/>
  <c r="G7" i="2"/>
  <c r="F7" i="2"/>
  <c r="E7" i="2"/>
  <c r="D7" i="2"/>
  <c r="C7" i="2"/>
  <c r="B7" i="2"/>
  <c r="I4" i="2"/>
  <c r="H4" i="2"/>
  <c r="H10" i="2" s="1"/>
  <c r="F4" i="2"/>
  <c r="E4" i="2"/>
  <c r="D4" i="2"/>
  <c r="C4" i="2"/>
  <c r="C10" i="2" s="1"/>
  <c r="B4" i="2"/>
  <c r="B10" i="2" s="1"/>
  <c r="B12" i="2" s="1"/>
  <c r="B20" i="2" s="1"/>
  <c r="G2" i="2"/>
  <c r="G4" i="2" s="1"/>
  <c r="G10" i="2" s="1"/>
  <c r="G12" i="2" s="1"/>
  <c r="G20" i="2" s="1"/>
  <c r="E2" i="2"/>
  <c r="H1" i="2"/>
  <c r="G1" i="2" s="1"/>
  <c r="F1" i="2"/>
  <c r="E1" i="2" s="1"/>
  <c r="D1" i="2" s="1"/>
  <c r="C1" i="2"/>
  <c r="B1" i="2" s="1"/>
  <c r="J52" i="3" l="1"/>
  <c r="J54" i="3" s="1"/>
  <c r="C54" i="3"/>
  <c r="N4" i="3"/>
  <c r="I33" i="3"/>
  <c r="I34" i="3"/>
  <c r="D43" i="3"/>
  <c r="D19" i="3"/>
  <c r="D37" i="3"/>
  <c r="D40" i="3"/>
  <c r="I56" i="3"/>
  <c r="I58" i="3" s="1"/>
  <c r="H56" i="3"/>
  <c r="H58" i="3" s="1"/>
  <c r="H29" i="3"/>
  <c r="H31" i="3" s="1"/>
  <c r="I29" i="3"/>
  <c r="I31" i="3" s="1"/>
  <c r="H61" i="3"/>
  <c r="H60" i="3"/>
  <c r="J29" i="3"/>
  <c r="C143" i="2"/>
  <c r="C12" i="2"/>
  <c r="C20" i="2" s="1"/>
  <c r="G25" i="3"/>
  <c r="G27" i="3" s="1"/>
  <c r="H25" i="3"/>
  <c r="H27" i="3" s="1"/>
  <c r="E34" i="3"/>
  <c r="E33" i="3"/>
  <c r="H20" i="2"/>
  <c r="H64" i="2"/>
  <c r="H76" i="2" s="1"/>
  <c r="H94" i="2" s="1"/>
  <c r="H96" i="2" s="1"/>
  <c r="I27" i="3"/>
  <c r="I20" i="2"/>
  <c r="I64" i="2"/>
  <c r="I76" i="2" s="1"/>
  <c r="I94" i="2" s="1"/>
  <c r="I19" i="3"/>
  <c r="H19" i="3"/>
  <c r="B55" i="3"/>
  <c r="C56" i="3" s="1"/>
  <c r="C186" i="2"/>
  <c r="C57" i="3" s="1"/>
  <c r="J57" i="3" s="1"/>
  <c r="E131" i="2"/>
  <c r="E143" i="2"/>
  <c r="E164" i="2"/>
  <c r="E165" i="2" s="1"/>
  <c r="E163" i="2"/>
  <c r="H179" i="2"/>
  <c r="B111" i="2"/>
  <c r="J9" i="3"/>
  <c r="K8" i="3"/>
  <c r="J10" i="3"/>
  <c r="B31" i="3"/>
  <c r="B36" i="3"/>
  <c r="J36" i="3" s="1"/>
  <c r="J35" i="3" s="1"/>
  <c r="F42" i="3"/>
  <c r="F43" i="3"/>
  <c r="C48" i="3"/>
  <c r="E94" i="2"/>
  <c r="H43" i="3"/>
  <c r="E48" i="3"/>
  <c r="I60" i="3"/>
  <c r="F10" i="2"/>
  <c r="F12" i="2" s="1"/>
  <c r="F20" i="2" s="1"/>
  <c r="C94" i="2"/>
  <c r="C183" i="2"/>
  <c r="C46" i="3" s="1"/>
  <c r="J46" i="3" s="1"/>
  <c r="C45" i="3"/>
  <c r="C64" i="3" s="1"/>
  <c r="H124" i="2"/>
  <c r="F50" i="3"/>
  <c r="D124" i="2"/>
  <c r="E196" i="2" s="1"/>
  <c r="D45" i="3"/>
  <c r="D67" i="3" s="1"/>
  <c r="C32" i="3"/>
  <c r="E40" i="3"/>
  <c r="G48" i="3"/>
  <c r="K51" i="3"/>
  <c r="I52" i="3"/>
  <c r="I54" i="3" s="1"/>
  <c r="D58" i="3"/>
  <c r="E64" i="3"/>
  <c r="E61" i="3"/>
  <c r="D191" i="2"/>
  <c r="J25" i="3"/>
  <c r="J27" i="3" s="1"/>
  <c r="D34" i="3"/>
  <c r="H32" i="3"/>
  <c r="H36" i="3"/>
  <c r="H37" i="3"/>
  <c r="B37" i="3"/>
  <c r="G42" i="3"/>
  <c r="K53" i="3"/>
  <c r="B33" i="3"/>
  <c r="B34" i="3"/>
  <c r="F131" i="2"/>
  <c r="F196" i="2"/>
  <c r="D48" i="3"/>
  <c r="E10" i="2"/>
  <c r="E12" i="2" s="1"/>
  <c r="E20" i="2" s="1"/>
  <c r="G131" i="2"/>
  <c r="G196" i="2"/>
  <c r="G163" i="2"/>
  <c r="G164" i="2" s="1"/>
  <c r="G165" i="2" s="1"/>
  <c r="D21" i="3"/>
  <c r="D23" i="3" s="1"/>
  <c r="F27" i="3"/>
  <c r="C40" i="3"/>
  <c r="C191" i="2"/>
  <c r="F191" i="2"/>
  <c r="E191" i="2"/>
  <c r="H7" i="3"/>
  <c r="H6" i="3"/>
  <c r="I37" i="3"/>
  <c r="I36" i="3"/>
  <c r="H40" i="3"/>
  <c r="H42" i="3"/>
  <c r="F58" i="3"/>
  <c r="G94" i="2"/>
  <c r="G143" i="2"/>
  <c r="I6" i="3"/>
  <c r="J5" i="3"/>
  <c r="I7" i="3"/>
  <c r="E25" i="3"/>
  <c r="F32" i="3"/>
  <c r="G33" i="3" s="1"/>
  <c r="I42" i="3"/>
  <c r="D54" i="3"/>
  <c r="F64" i="3"/>
  <c r="F63" i="3"/>
  <c r="F59" i="3"/>
  <c r="G49" i="3"/>
  <c r="G26" i="3"/>
  <c r="B19" i="3"/>
  <c r="B43" i="3"/>
  <c r="F29" i="3"/>
  <c r="E54" i="3"/>
  <c r="G58" i="3"/>
  <c r="G59" i="3"/>
  <c r="G64" i="3"/>
  <c r="H63" i="3"/>
  <c r="G63" i="3"/>
  <c r="E16" i="3"/>
  <c r="E13" i="3"/>
  <c r="C6" i="3"/>
  <c r="D6" i="3"/>
  <c r="E10" i="3"/>
  <c r="C36" i="3"/>
  <c r="G39" i="3"/>
  <c r="I39" i="3"/>
  <c r="J39" i="3" s="1"/>
  <c r="H67" i="3"/>
  <c r="E70" i="3"/>
  <c r="C184" i="2"/>
  <c r="G13" i="3"/>
  <c r="G10" i="3"/>
  <c r="F6" i="3"/>
  <c r="F19" i="3"/>
  <c r="D36" i="3"/>
  <c r="E36" i="3"/>
  <c r="B42" i="3"/>
  <c r="J42" i="3" s="1"/>
  <c r="J41" i="3" s="1"/>
  <c r="I67" i="3"/>
  <c r="F70" i="3"/>
  <c r="G70" i="3"/>
  <c r="K3" i="3"/>
  <c r="J13" i="3"/>
  <c r="E26" i="3"/>
  <c r="E42" i="3"/>
  <c r="G66" i="3"/>
  <c r="H70" i="3"/>
  <c r="E37" i="3"/>
  <c r="D94" i="2"/>
  <c r="H60" i="2"/>
  <c r="C60" i="3"/>
  <c r="C61" i="3"/>
  <c r="D60" i="3"/>
  <c r="C63" i="3"/>
  <c r="E56" i="3"/>
  <c r="D63" i="3"/>
  <c r="D66" i="3"/>
  <c r="C67" i="3"/>
  <c r="C69" i="3"/>
  <c r="C70" i="3"/>
  <c r="E66" i="3"/>
  <c r="E69" i="3"/>
  <c r="F69" i="3"/>
  <c r="G69" i="3"/>
  <c r="H69" i="3"/>
  <c r="I66" i="3"/>
  <c r="I69" i="3"/>
  <c r="I70" i="3"/>
  <c r="B59" i="3"/>
  <c r="L57" i="3" l="1"/>
  <c r="M57" i="3"/>
  <c r="N57" i="3" s="1"/>
  <c r="L42" i="3"/>
  <c r="M29" i="3"/>
  <c r="M31" i="3" s="1"/>
  <c r="J38" i="3"/>
  <c r="L29" i="3"/>
  <c r="L31" i="3" s="1"/>
  <c r="J45" i="3"/>
  <c r="M53" i="3"/>
  <c r="N53" i="3" s="1"/>
  <c r="K36" i="3"/>
  <c r="K35" i="3" s="1"/>
  <c r="H196" i="2"/>
  <c r="H131" i="2"/>
  <c r="K10" i="3"/>
  <c r="L8" i="3"/>
  <c r="K9" i="3"/>
  <c r="D61" i="3"/>
  <c r="J6" i="3"/>
  <c r="J7" i="3"/>
  <c r="K5" i="3"/>
  <c r="D70" i="3"/>
  <c r="G60" i="3"/>
  <c r="G61" i="3"/>
  <c r="L53" i="3"/>
  <c r="K69" i="3"/>
  <c r="L68" i="3" s="1"/>
  <c r="L69" i="3"/>
  <c r="M68" i="3" s="1"/>
  <c r="C58" i="3"/>
  <c r="J56" i="3"/>
  <c r="D64" i="3"/>
  <c r="F31" i="3"/>
  <c r="F34" i="3"/>
  <c r="F33" i="3"/>
  <c r="B124" i="2"/>
  <c r="B45" i="3"/>
  <c r="K48" i="3"/>
  <c r="K52" i="3"/>
  <c r="C26" i="3"/>
  <c r="C27" i="3" s="1"/>
  <c r="C49" i="3"/>
  <c r="K49" i="3" s="1"/>
  <c r="L49" i="3" s="1"/>
  <c r="M49" i="3" s="1"/>
  <c r="F61" i="3"/>
  <c r="F60" i="3"/>
  <c r="K25" i="3"/>
  <c r="K27" i="3" s="1"/>
  <c r="J24" i="3"/>
  <c r="G203" i="2"/>
  <c r="G132" i="2"/>
  <c r="D196" i="2"/>
  <c r="D131" i="2"/>
  <c r="E50" i="3"/>
  <c r="K42" i="3"/>
  <c r="K41" i="3" s="1"/>
  <c r="J19" i="3"/>
  <c r="J18" i="3" s="1"/>
  <c r="J43" i="3" s="1"/>
  <c r="K19" i="3"/>
  <c r="K39" i="3"/>
  <c r="L39" i="3" s="1"/>
  <c r="M39" i="3" s="1"/>
  <c r="H34" i="3"/>
  <c r="H33" i="3"/>
  <c r="F143" i="2"/>
  <c r="C33" i="3"/>
  <c r="C34" i="3"/>
  <c r="D33" i="3"/>
  <c r="J31" i="3"/>
  <c r="J28" i="3"/>
  <c r="J33" i="3"/>
  <c r="I95" i="2"/>
  <c r="I96" i="2" s="1"/>
  <c r="I97" i="2" s="1"/>
  <c r="H97" i="2"/>
  <c r="E132" i="2"/>
  <c r="D50" i="3"/>
  <c r="F132" i="2"/>
  <c r="F203" i="2"/>
  <c r="K46" i="3"/>
  <c r="L46" i="3" s="1"/>
  <c r="L63" i="3"/>
  <c r="M62" i="3" s="1"/>
  <c r="E27" i="3"/>
  <c r="G50" i="3"/>
  <c r="E58" i="3"/>
  <c r="K63" i="3"/>
  <c r="L62" i="3" s="1"/>
  <c r="K13" i="3"/>
  <c r="L3" i="3"/>
  <c r="K16" i="3"/>
  <c r="K29" i="3"/>
  <c r="K31" i="3" s="1"/>
  <c r="J66" i="3"/>
  <c r="L41" i="3" l="1"/>
  <c r="K65" i="3"/>
  <c r="N68" i="3"/>
  <c r="N39" i="3"/>
  <c r="K50" i="3"/>
  <c r="K47" i="3"/>
  <c r="L47" i="3" s="1"/>
  <c r="M47" i="3" s="1"/>
  <c r="B67" i="3"/>
  <c r="B70" i="3"/>
  <c r="B64" i="3"/>
  <c r="B131" i="2"/>
  <c r="C203" i="2" s="1"/>
  <c r="C196" i="2"/>
  <c r="K28" i="3"/>
  <c r="L28" i="3" s="1"/>
  <c r="M28" i="3" s="1"/>
  <c r="N62" i="3"/>
  <c r="M25" i="3"/>
  <c r="M27" i="3" s="1"/>
  <c r="K24" i="3"/>
  <c r="L24" i="3" s="1"/>
  <c r="M24" i="3" s="1"/>
  <c r="N24" i="3" s="1"/>
  <c r="K18" i="3"/>
  <c r="L18" i="3" s="1"/>
  <c r="J32" i="3"/>
  <c r="J34" i="3" s="1"/>
  <c r="K38" i="3"/>
  <c r="J40" i="3"/>
  <c r="L13" i="3"/>
  <c r="M3" i="3"/>
  <c r="L16" i="3"/>
  <c r="K66" i="3"/>
  <c r="M63" i="3"/>
  <c r="L66" i="3"/>
  <c r="B61" i="3"/>
  <c r="M42" i="3"/>
  <c r="N42" i="3" s="1"/>
  <c r="K33" i="3"/>
  <c r="J60" i="3"/>
  <c r="K60" i="3" s="1"/>
  <c r="N49" i="3"/>
  <c r="L19" i="3"/>
  <c r="J70" i="3"/>
  <c r="J64" i="3"/>
  <c r="K45" i="3"/>
  <c r="J67" i="3"/>
  <c r="J61" i="3"/>
  <c r="M48" i="3"/>
  <c r="M50" i="3" s="1"/>
  <c r="N69" i="3"/>
  <c r="N29" i="3"/>
  <c r="N31" i="3" s="1"/>
  <c r="N63" i="3"/>
  <c r="M46" i="3"/>
  <c r="N46" i="3" s="1"/>
  <c r="J37" i="3"/>
  <c r="L48" i="3"/>
  <c r="L50" i="3" s="1"/>
  <c r="K54" i="3"/>
  <c r="L51" i="3"/>
  <c r="L52" i="3"/>
  <c r="M52" i="3" s="1"/>
  <c r="L36" i="3"/>
  <c r="M8" i="3"/>
  <c r="L9" i="3"/>
  <c r="L10" i="3"/>
  <c r="D132" i="2"/>
  <c r="D203" i="2"/>
  <c r="M69" i="3"/>
  <c r="L25" i="3"/>
  <c r="L27" i="3" s="1"/>
  <c r="N25" i="3"/>
  <c r="N27" i="3" s="1"/>
  <c r="E203" i="2"/>
  <c r="C50" i="3"/>
  <c r="J58" i="3"/>
  <c r="L56" i="3"/>
  <c r="K55" i="3"/>
  <c r="M55" i="3" s="1"/>
  <c r="K7" i="3"/>
  <c r="K6" i="3"/>
  <c r="L5" i="3"/>
  <c r="H203" i="2"/>
  <c r="H132" i="2"/>
  <c r="M54" i="3" l="1"/>
  <c r="N52" i="3"/>
  <c r="N54" i="3" s="1"/>
  <c r="M36" i="3"/>
  <c r="N36" i="3"/>
  <c r="L33" i="3"/>
  <c r="M18" i="3"/>
  <c r="N18" i="3" s="1"/>
  <c r="M10" i="3"/>
  <c r="N8" i="3"/>
  <c r="M9" i="3"/>
  <c r="N51" i="3"/>
  <c r="L45" i="3"/>
  <c r="K64" i="3"/>
  <c r="K70" i="3"/>
  <c r="L65" i="3"/>
  <c r="M66" i="3"/>
  <c r="N66" i="3" s="1"/>
  <c r="M41" i="3"/>
  <c r="L43" i="3"/>
  <c r="N3" i="3"/>
  <c r="M13" i="3"/>
  <c r="M16" i="3"/>
  <c r="K40" i="3"/>
  <c r="K32" i="3"/>
  <c r="K34" i="3" s="1"/>
  <c r="L38" i="3"/>
  <c r="L54" i="3"/>
  <c r="M51" i="3"/>
  <c r="N19" i="3"/>
  <c r="M19" i="3"/>
  <c r="L35" i="3"/>
  <c r="N28" i="3"/>
  <c r="L58" i="3"/>
  <c r="M56" i="3"/>
  <c r="M65" i="3"/>
  <c r="K67" i="3"/>
  <c r="K59" i="3"/>
  <c r="K61" i="3" s="1"/>
  <c r="L60" i="3"/>
  <c r="M60" i="3" s="1"/>
  <c r="N60" i="3" s="1"/>
  <c r="K43" i="3"/>
  <c r="L7" i="3"/>
  <c r="L6" i="3"/>
  <c r="M5" i="3"/>
  <c r="N48" i="3"/>
  <c r="N50" i="3" s="1"/>
  <c r="K37" i="3"/>
  <c r="N9" i="3" l="1"/>
  <c r="N10" i="3"/>
  <c r="N13" i="3"/>
  <c r="N16" i="3"/>
  <c r="N33" i="3"/>
  <c r="M58" i="3"/>
  <c r="N55" i="3"/>
  <c r="N56" i="3"/>
  <c r="N58" i="3" s="1"/>
  <c r="M6" i="3"/>
  <c r="N5" i="3"/>
  <c r="M7" i="3"/>
  <c r="N47" i="3"/>
  <c r="L37" i="3"/>
  <c r="M35" i="3"/>
  <c r="N41" i="3"/>
  <c r="N43" i="3" s="1"/>
  <c r="M43" i="3"/>
  <c r="N65" i="3"/>
  <c r="L67" i="3"/>
  <c r="L59" i="3"/>
  <c r="L61" i="3" s="1"/>
  <c r="M67" i="3"/>
  <c r="M59" i="3"/>
  <c r="M61" i="3" s="1"/>
  <c r="L40" i="3"/>
  <c r="L32" i="3"/>
  <c r="L34" i="3" s="1"/>
  <c r="M38" i="3"/>
  <c r="M45" i="3"/>
  <c r="L64" i="3"/>
  <c r="L70" i="3"/>
  <c r="M33" i="3"/>
  <c r="N7" i="3" l="1"/>
  <c r="N6" i="3"/>
  <c r="N38" i="3"/>
  <c r="M32" i="3"/>
  <c r="M34" i="3" s="1"/>
  <c r="M40" i="3"/>
  <c r="N59" i="3"/>
  <c r="N35" i="3"/>
  <c r="N37" i="3" s="1"/>
  <c r="M37" i="3"/>
  <c r="N45" i="3"/>
  <c r="M70" i="3"/>
  <c r="M64" i="3"/>
  <c r="N70" i="3" l="1"/>
  <c r="N64" i="3"/>
  <c r="N61" i="3"/>
  <c r="N67" i="3"/>
  <c r="N32" i="3"/>
  <c r="N34" i="3" s="1"/>
  <c r="N4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63" authorId="0" shapeId="0" xr:uid="{00000000-0006-0000-0100-000001000000}">
      <text>
        <r>
          <rPr>
            <sz val="11"/>
            <color rgb="FF000000"/>
            <rFont val="Calibri"/>
            <family val="2"/>
            <charset val="1"/>
          </rPr>
          <t xml:space="preserve">Dell:
</t>
        </r>
        <r>
          <rPr>
            <sz val="9"/>
            <color rgb="FF000000"/>
            <rFont val="Tahoma"/>
            <family val="2"/>
            <charset val="1"/>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<sst xmlns="http://schemas.openxmlformats.org/spreadsheetml/2006/main" count="291" uniqueCount="149">
  <si>
    <t>Instructions</t>
  </si>
  <si>
    <t>Build the segmental revenue model in the "Segmental forecast" sheet in accordance to the example provided with all the calculations</t>
  </si>
  <si>
    <t>Note that the revenue growth is the add up of Organic growth + Currency impact</t>
  </si>
  <si>
    <t>If there are new line items mentioned in the older reports, feel free to insert new rows for them, however ensure that these rows are taken in to account for the formulas</t>
  </si>
  <si>
    <t>Submission time is 3 days from the day the task was given to you</t>
  </si>
  <si>
    <r>
      <rPr>
        <b/>
        <sz val="16"/>
        <color rgb="FFFFFFFF"/>
        <rFont val="Calibri"/>
        <family val="2"/>
        <charset val="1"/>
      </rPr>
      <t xml:space="preserve">NIKE, INC.
</t>
    </r>
    <r>
      <rPr>
        <sz val="11"/>
        <color rgb="FFFFFFFF"/>
        <rFont val="Calibri"/>
        <family val="2"/>
        <charset val="1"/>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</si>
  <si>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</si>
  <si>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</si>
  <si>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</si>
  <si>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</si>
  <si>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</si>
  <si>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</si>
  <si>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</si>
  <si>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</si>
  <si>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</si>
  <si>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</si>
  <si>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</si>
  <si>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</si>
  <si>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</si>
  <si>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</si>
  <si>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</si>
  <si>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</si>
  <si>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</si>
  <si>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</si>
  <si>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</si>
  <si>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</si>
  <si>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</si>
  <si>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</si>
  <si>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</si>
  <si>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</si>
  <si>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</si>
  <si>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</si>
  <si>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</si>
  <si>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</si>
  <si>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</si>
  <si>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</si>
  <si>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</si>
  <si>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</si>
  <si>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</si>
  <si>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</si>
  <si>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</si>
  <si>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</si>
  <si>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</si>
  <si>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</si>
  <si>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</si>
  <si>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</si>
  <si>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</si>
  <si>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</si>
  <si>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</si>
  <si>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</si>
  <si>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</si>
  <si>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</si>
  <si>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</si>
  <si>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</si>
  <si>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</si>
  <si>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</si>
  <si>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</si>
  <si>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</si>
  <si>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</si>
  <si>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</si>
  <si>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</si>
  <si>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</si>
  <si>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</si>
  <si>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</si>
  <si>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</si>
  <si>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</si>
  <si>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</si>
  <si>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</si>
  <si>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</si>
  <si>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</si>
  <si>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</si>
  <si>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</si>
  <si>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</si>
  <si>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</si>
  <si>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</si>
  <si>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</si>
  <si>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</si>
  <si>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</si>
  <si>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</si>
  <si>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</si>
  <si>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</si>
  <si>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Additions to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</si>
  <si>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</si>
  <si>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</si>
  <si>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</si>
  <si>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</si>
  <si>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</si>
  <si>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</si>
  <si>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</si>
  <si>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</si>
  <si>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</si>
  <si>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</si>
  <si>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</si>
  <si>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</si>
  <si>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</si>
  <si>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</si>
  <si>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</si>
  <si>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</si>
  <si>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</si>
  <si>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</si>
  <si>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</si>
  <si>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</si>
  <si>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</si>
  <si>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</si>
  <si>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</si>
  <si>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</si>
  <si>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</si>
  <si>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Footwear</t>
  </si>
  <si>
    <t>Apparel</t>
  </si>
  <si>
    <t>Equipment</t>
  </si>
  <si>
    <t>Europe, Middle East &amp; Africa</t>
  </si>
  <si>
    <t>Greater China</t>
  </si>
  <si>
    <t>Asia Pacific &amp; Latin America</t>
  </si>
  <si>
    <t>Global Brand Divisions</t>
  </si>
  <si>
    <t>TOTAL NIKE BRAND</t>
  </si>
  <si>
    <t>Converse</t>
  </si>
  <si>
    <t>Other</t>
  </si>
  <si>
    <t>Corporate</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</si>
  <si>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</si>
  <si>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</si>
  <si>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</si>
  <si>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</si>
  <si>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</si>
  <si>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</si>
  <si>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</si>
  <si>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</si>
  <si>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</si>
  <si>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</si>
  <si>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</si>
  <si>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</si>
  <si>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</si>
  <si>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</si>
  <si>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Group Totals</t>
  </si>
  <si>
    <t>Group Revenue</t>
  </si>
  <si>
    <t>Growth %</t>
  </si>
  <si>
    <t>EBITDA</t>
  </si>
  <si>
    <t>Margin %</t>
  </si>
  <si>
    <t>D&amp;A</t>
  </si>
  <si>
    <t>As a  % of revenue</t>
  </si>
  <si>
    <t>EBIT</t>
  </si>
  <si>
    <t>Capex</t>
  </si>
  <si>
    <t>Revenue</t>
  </si>
  <si>
    <t>Organic growth %</t>
  </si>
  <si>
    <t>Currency impact %</t>
  </si>
  <si>
    <t>NM</t>
  </si>
  <si>
    <t>Please keep columns J to N blank for now</t>
  </si>
  <si>
    <t>Should be the addition of segments linked from below rows in the segment sheet</t>
  </si>
  <si>
    <t>Should be the addition of sub-segments linked from below rows in the segment sheet</t>
  </si>
  <si>
    <t>Link up all the segments, Europe, Asia Global, Converse and Corporate in similar format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</si>
</sst>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_-;_-@_-"/>
    <numFmt numFmtId="165" formatCode="_(* #,##0.00_);_(* \(#,##0.00\);_(* \-??_);_(@_)"/>
    <numFmt numFmtId="166" formatCode="_(* #,##0_);_(* \(#,##0\);_(* \-??_);_(@_)"/>
    <numFmt numFmtId="167" formatCode="0.0%"/>
    <numFmt numFmtId="168" formatCode="0.000"/>
  </numFmts>
  <fonts count="13" x14ac:knownFonts="1">
    <font>
      <sz val="11"/>
      <color rgb="FF000000"/>
      <name val="Calibri"/>
      <family val="2"/>
      <charset val="1"/>
    </font>
    <font>
      <b/>
      <sz val="18"/>
      <color rgb="FFFFFFFF"/>
      <name val="Calibri"/>
      <family val="2"/>
      <charset val="1"/>
    </font>
    <font>
      <b/>
      <sz val="16"/>
      <color rgb="FFFFFFFF"/>
      <name val="Calibri"/>
      <family val="2"/>
      <charset val="1"/>
    </font>
    <font>
      <sz val="11"/>
      <color rgb="FFFFFFFF"/>
      <name val="Calibri"/>
      <family val="2"/>
      <charset val="1"/>
    </font>
    <font>
      <b/>
      <sz val="11"/>
      <color rgb="FFFFFFFF"/>
      <name val="Calibri"/>
      <family val="2"/>
      <charset val="1"/>
    </font>
    <font>
      <b/>
      <sz val="11"/>
      <color rgb="FF000000"/>
      <name val="Calibri"/>
      <family val="2"/>
      <charset val="1"/>
    </font>
    <font>
      <b/>
      <sz val="11"/>
      <color rgb="FFFF0000"/>
      <name val="Calibri"/>
      <family val="2"/>
      <charset val="1"/>
    </font>
    <font>
      <b/>
      <i/>
      <sz val="10"/>
      <color rgb="FF000000"/>
      <name val="Calibri"/>
      <family val="2"/>
      <charset val="1"/>
    </font>
    <font>
      <i/>
      <sz val="10"/>
      <color rgb="FF000000"/>
      <name val="Calibri"/>
      <family val="2"/>
      <charset val="1"/>
    </font>
    <font>
      <sz val="9"/>
      <color rgb="FF000000"/>
      <name val="Tahoma"/>
      <family val="2"/>
      <charset val="1"/>
    </font>
    <font>
      <i/>
      <sz val="9"/>
      <color rgb="FF000000"/>
      <name val="Calibri"/>
      <family val="2"/>
      <charset val="1"/>
    </font>
    <font>
      <sz val="11"/>
      <color rgb="FF000000"/>
      <name val="Calibri"/>
      <family val="2"/>
      <charset val="1"/>
    </font>
    <font>
      <sz val="11"/>
      <name val="Calibri"/>
      <family val="2"/>
      <scheme val="minor"/>
    </font>
  </fonts>
  <fills count="7">
    <fill>
      <patternFill patternType="none"/>
    </fill>
    <fill>
      <patternFill patternType="gray125"/>
    </fill>
    <fill>
      <patternFill patternType="solid">
        <fgColor rgb="FF4472C4"/>
        <bgColor rgb="FF666699"/>
      </patternFill>
    </fill>
    <fill>
      <patternFill patternType="solid">
        <fgColor rgb="FF8FAADC"/>
        <bgColor rgb="FFADB9CA"/>
      </patternFill>
    </fill>
    <fill>
      <patternFill patternType="solid">
        <fgColor rgb="FF002060"/>
        <bgColor rgb="FF000080"/>
      </patternFill>
    </fill>
    <fill>
      <patternFill patternType="solid">
        <fgColor rgb="FFADB9CA"/>
        <bgColor rgb="FF8FAADC"/>
      </patternFill>
    </fill>
    <fill>
      <patternFill patternType="solid">
        <fgColor rgb="FF8497B0"/>
        <bgColor rgb="FF8FAADC"/>
      </patternFill>
    </fill>
  </fills>
  <borders count="5">
    <border>
      <left/>
      <right/>
      <top/>
      <bottom/>
      <diagonal/>
    </border>
    <border>
      <left/>
      <right/>
      <top/>
      <bottom style="thin">
        <color auto="1"/>
      </bottom>
      <diagonal/>
    </border>
    <border>
      <left/>
      <right/>
      <top style="thin">
        <color auto="1"/>
      </top>
      <bottom/>
      <diagonal/>
    </border>
    <border>
      <left/>
      <right/>
      <top style="thin">
        <color auto="1"/>
      </top>
      <bottom style="double">
        <color auto="1"/>
      </bottom>
      <diagonal/>
    </border>
    <border>
      <left/>
      <right/>
      <top style="thin">
        <color auto="1"/>
      </top>
      <bottom style="thin">
        <color auto="1"/>
      </bottom>
      <diagonal/>
    </border>
  </borders>
  <cellStyleXfs count="6">
    <xf numFmtId="0" fontId="0" fillId="0" borderId="0"/>
    <xf numFmtId="165" fontId="11" fillId="0" borderId="0" applyBorder="0" applyProtection="0"/>
    <xf numFmtId="9" fontId="11" fillId="0" borderId="0" applyBorder="0" applyProtection="0"/>
    <xf numFmtId="164" fontId="11" fillId="0" borderId="0" applyBorder="0" applyProtection="0"/>
    <xf numFmtId="0" fontId="3" fillId="2" borderId="0" applyBorder="0" applyProtection="0"/>
    <xf numFmtId="0" fontId="3" fillId="3" borderId="0" applyBorder="0" applyProtection="0"/>
  </cellStyleXfs>
  <cellXfs count="56">
    <xf numFmtId="0" fontId="0" fillId="0" borderId="0" xfId="0"/>
    <xf numFmtId="0" fontId="0" fillId="0" borderId="0" xfId="0" applyAlignment="1">
      <alignment wrapText="1"/>
    </xf>
    <xf numFmtId="0" fontId="1" fillId="4" borderId="0" xfId="0" applyFont="1" applyFill="1" applyAlignment="1">
      <alignment wrapText="1"/>
    </xf>
    <xf numFmtId="0" fontId="0" fillId="0" borderId="0" xfId="0" applyAlignment="1">
      <alignment horizontal="left" wrapText="1"/>
    </xf>
    <xf numFmtId="0" fontId="0" fillId="0" borderId="0" xfId="0" applyAlignment="1">
      <alignment horizontal="left" wrapText="1" indent="1"/>
    </xf>
    <xf numFmtId="0" fontId="2" fillId="4" borderId="0" xfId="0" applyFont="1" applyFill="1" applyAlignment="1">
      <alignment vertical="center" wrapText="1"/>
    </xf>
    <xf numFmtId="0" fontId="4" fillId="4" borderId="0" xfId="0" applyFont="1" applyFill="1" applyAlignment="1">
      <alignment horizontal="right"/>
    </xf>
    <xf numFmtId="166" fontId="11" fillId="0" borderId="0" xfId="1" applyNumberFormat="1" applyBorder="1" applyProtection="1"/>
    <xf numFmtId="0" fontId="0" fillId="0" borderId="1" xfId="0" applyBorder="1"/>
    <xf numFmtId="166" fontId="11" fillId="0" borderId="1" xfId="1" applyNumberFormat="1" applyBorder="1" applyProtection="1"/>
    <xf numFmtId="0" fontId="5" fillId="0" borderId="0" xfId="0" applyFont="1"/>
    <xf numFmtId="166" fontId="5" fillId="0" borderId="0" xfId="1" applyNumberFormat="1" applyFont="1" applyBorder="1" applyProtection="1"/>
    <xf numFmtId="0" fontId="0" fillId="0" borderId="0" xfId="0" applyAlignment="1">
      <alignment horizontal="left" indent="2"/>
    </xf>
    <xf numFmtId="0" fontId="0" fillId="0" borderId="2" xfId="0" applyBorder="1" applyAlignment="1">
      <alignment horizontal="left" indent="1"/>
    </xf>
    <xf numFmtId="166" fontId="11" fillId="0" borderId="2" xfId="1" applyNumberFormat="1" applyBorder="1" applyProtection="1"/>
    <xf numFmtId="0" fontId="0" fillId="0" borderId="0" xfId="0" applyAlignment="1">
      <alignment horizontal="left" indent="1"/>
    </xf>
    <xf numFmtId="0" fontId="5" fillId="0" borderId="2" xfId="0" applyFont="1" applyBorder="1"/>
    <xf numFmtId="166" fontId="5" fillId="0" borderId="2" xfId="1" applyNumberFormat="1" applyFont="1" applyBorder="1" applyProtection="1"/>
    <xf numFmtId="0" fontId="5" fillId="0" borderId="3" xfId="0" applyFont="1" applyBorder="1"/>
    <xf numFmtId="166" fontId="5" fillId="0" borderId="3" xfId="1" applyNumberFormat="1" applyFont="1" applyBorder="1" applyProtection="1"/>
    <xf numFmtId="3" fontId="0" fillId="0" borderId="0" xfId="0" applyNumberFormat="1"/>
    <xf numFmtId="0" fontId="6" fillId="0" borderId="0" xfId="0" applyFont="1"/>
    <xf numFmtId="166" fontId="6" fillId="0" borderId="0" xfId="0" applyNumberFormat="1" applyFont="1"/>
    <xf numFmtId="0" fontId="5" fillId="5" borderId="0" xfId="0" applyFont="1" applyFill="1" applyAlignment="1">
      <alignment horizontal="center"/>
    </xf>
    <xf numFmtId="0" fontId="5" fillId="0" borderId="0" xfId="0" applyFont="1" applyAlignment="1">
      <alignment horizontal="left" indent="1"/>
    </xf>
    <xf numFmtId="0" fontId="0" fillId="0" borderId="0" xfId="0" applyAlignment="1">
      <alignment horizontal="left" indent="3"/>
    </xf>
    <xf numFmtId="0" fontId="5" fillId="0" borderId="4" xfId="0" applyFont="1" applyBorder="1" applyAlignment="1">
      <alignment horizontal="left"/>
    </xf>
    <xf numFmtId="166" fontId="5" fillId="0" borderId="4" xfId="1" applyNumberFormat="1" applyFont="1" applyBorder="1" applyProtection="1"/>
    <xf numFmtId="0" fontId="5" fillId="0" borderId="4" xfId="0" applyFont="1" applyBorder="1"/>
    <xf numFmtId="0" fontId="5" fillId="0" borderId="0" xfId="0" applyFont="1" applyAlignment="1">
      <alignment horizontal="left"/>
    </xf>
    <xf numFmtId="0" fontId="7" fillId="0" borderId="0" xfId="0" applyFont="1" applyAlignment="1">
      <alignment horizontal="left" indent="1"/>
    </xf>
    <xf numFmtId="167" fontId="7" fillId="0" borderId="0" xfId="2" applyNumberFormat="1" applyFont="1" applyBorder="1" applyProtection="1"/>
    <xf numFmtId="0" fontId="8" fillId="0" borderId="0" xfId="0" applyFont="1" applyAlignment="1">
      <alignment horizontal="left" indent="2"/>
    </xf>
    <xf numFmtId="167" fontId="8" fillId="0" borderId="0" xfId="2" applyNumberFormat="1" applyFont="1" applyBorder="1" applyProtection="1"/>
    <xf numFmtId="167" fontId="7" fillId="0" borderId="1" xfId="2" applyNumberFormat="1" applyFont="1" applyBorder="1" applyProtection="1"/>
    <xf numFmtId="0" fontId="8" fillId="0" borderId="2" xfId="0" applyFont="1" applyBorder="1"/>
    <xf numFmtId="167" fontId="7" fillId="0" borderId="2" xfId="2" applyNumberFormat="1" applyFont="1" applyBorder="1" applyProtection="1"/>
    <xf numFmtId="167" fontId="8" fillId="0" borderId="2" xfId="2" applyNumberFormat="1" applyFont="1" applyBorder="1" applyProtection="1"/>
    <xf numFmtId="0" fontId="8" fillId="0" borderId="0" xfId="0" applyFont="1" applyAlignment="1">
      <alignment horizontal="left" indent="1"/>
    </xf>
    <xf numFmtId="0" fontId="7" fillId="0" borderId="3" xfId="0" applyFont="1" applyBorder="1"/>
    <xf numFmtId="167" fontId="7" fillId="0" borderId="3" xfId="2" applyNumberFormat="1" applyFont="1" applyBorder="1" applyProtection="1"/>
    <xf numFmtId="0" fontId="5" fillId="6" borderId="0" xfId="0" applyFont="1" applyFill="1"/>
    <xf numFmtId="166" fontId="4" fillId="2" borderId="0" xfId="4" applyNumberFormat="1" applyFont="1" applyBorder="1" applyAlignment="1" applyProtection="1">
      <alignment horizontal="left"/>
    </xf>
    <xf numFmtId="166" fontId="10" fillId="0" borderId="0" xfId="1" applyNumberFormat="1" applyFont="1" applyBorder="1" applyAlignment="1" applyProtection="1">
      <alignment horizontal="left" indent="1"/>
    </xf>
    <xf numFmtId="10" fontId="0" fillId="0" borderId="0" xfId="0" applyNumberFormat="1"/>
    <xf numFmtId="4" fontId="0" fillId="0" borderId="0" xfId="0" applyNumberFormat="1"/>
    <xf numFmtId="166" fontId="5" fillId="3" borderId="0" xfId="5" applyNumberFormat="1" applyFont="1" applyBorder="1" applyProtection="1"/>
    <xf numFmtId="166" fontId="10" fillId="0" borderId="0" xfId="1" applyNumberFormat="1" applyFont="1" applyBorder="1" applyAlignment="1" applyProtection="1">
      <alignment horizontal="left" indent="2"/>
    </xf>
    <xf numFmtId="167" fontId="8" fillId="0" borderId="0" xfId="2" applyNumberFormat="1" applyFont="1" applyBorder="1" applyAlignment="1" applyProtection="1">
      <alignment horizontal="right"/>
    </xf>
    <xf numFmtId="166" fontId="11" fillId="0" borderId="0" xfId="1" applyNumberFormat="1" applyBorder="1" applyAlignment="1" applyProtection="1">
      <alignment horizontal="left" indent="1"/>
    </xf>
    <xf numFmtId="168" fontId="0" fillId="0" borderId="0" xfId="0" applyNumberFormat="1"/>
    <xf numFmtId="166" fontId="5" fillId="0" borderId="0" xfId="0" applyNumberFormat="1" applyFont="1"/>
    <xf numFmtId="4" fontId="5" fillId="0" borderId="0" xfId="0" applyNumberFormat="1" applyFont="1"/>
    <xf numFmtId="166" fontId="0" fillId="0" borderId="0" xfId="0" applyNumberFormat="1"/>
    <xf numFmtId="167" fontId="0" fillId="0" borderId="0" xfId="0" applyNumberFormat="1"/>
    <xf numFmtId="0" fontId="12" fillId="0" borderId="0" xfId="0" applyFont="1"/>
  </cellXfs>
  <cellStyles count="6">
    <cellStyle name="Comma" xfId="1" builtinId="3"/>
    <cellStyle name="Comma 2" xfId="3" xr:uid="{00000000-0005-0000-0000-000006000000}"/>
    <cellStyle name="Excel Built-in 60% - Accent1" xfId="5" xr:uid="{00000000-0005-0000-0000-000008000000}"/>
    <cellStyle name="Excel Built-in Accent1" xfId="4" xr:uid="{00000000-0005-0000-0000-000007000000}"/>
    <cellStyle name="Normal" xfId="0" builtinId="0"/>
    <cellStyle name="Percent" xfId="2"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808080"/>
      <rgbColor rgb="FF8FAADC"/>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FF6600"/>
      <rgbColor rgb="FF666699"/>
      <rgbColor rgb="FF8497B0"/>
      <rgbColor rgb="FF002060"/>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0</xdr:col>
      <xdr:colOff>10982880</xdr:colOff>
      <xdr:row>18</xdr:row>
      <xdr:rowOff>8640</xdr:rowOff>
    </xdr:from>
    <xdr:to>
      <xdr:col>0</xdr:col>
      <xdr:colOff>12129480</xdr:colOff>
      <xdr:row>21</xdr:row>
      <xdr:rowOff>97560</xdr:rowOff>
    </xdr:to>
    <xdr:sp macro="" textlink="">
      <xdr:nvSpPr>
        <xdr:cNvPr id="2" name="TextBox 3">
          <a:extLst>
            <a:ext uri="{FF2B5EF4-FFF2-40B4-BE49-F238E27FC236}">
              <a16:creationId xmlns:a16="http://schemas.microsoft.com/office/drawing/2014/main" id="{00000000-0008-0000-0000-000002000000}"/>
            </a:ext>
          </a:extLst>
        </xdr:cNvPr>
        <xdr:cNvSpPr/>
      </xdr:nvSpPr>
      <xdr:spPr>
        <a:xfrm>
          <a:off x="10982880" y="3380400"/>
          <a:ext cx="1146600" cy="631800"/>
        </a:xfrm>
        <a:prstGeom prst="rect">
          <a:avLst/>
        </a:prstGeom>
        <a:solidFill>
          <a:srgbClr val="FFFFFF"/>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rgbClr val="000000"/>
              </a:solidFill>
              <a:latin typeface="Calibri"/>
            </a:rPr>
            <a:t>Organic growth rate %</a:t>
          </a:r>
          <a:endParaRPr lang="en-GB" sz="1100" b="0" strike="noStrike" spc="-1">
            <a:latin typeface="Times New Roman"/>
          </a:endParaRPr>
        </a:p>
      </xdr:txBody>
    </xdr:sp>
    <xdr:clientData/>
  </xdr:twoCellAnchor>
  <xdr:twoCellAnchor editAs="absolute">
    <xdr:from>
      <xdr:col>1</xdr:col>
      <xdr:colOff>540360</xdr:colOff>
      <xdr:row>18</xdr:row>
      <xdr:rowOff>38880</xdr:rowOff>
    </xdr:from>
    <xdr:to>
      <xdr:col>3</xdr:col>
      <xdr:colOff>462960</xdr:colOff>
      <xdr:row>21</xdr:row>
      <xdr:rowOff>127800</xdr:rowOff>
    </xdr:to>
    <xdr:sp macro="" textlink="">
      <xdr:nvSpPr>
        <xdr:cNvPr id="3" name="TextBox 4">
          <a:extLst>
            <a:ext uri="{FF2B5EF4-FFF2-40B4-BE49-F238E27FC236}">
              <a16:creationId xmlns:a16="http://schemas.microsoft.com/office/drawing/2014/main" id="{00000000-0008-0000-0000-000003000000}"/>
            </a:ext>
          </a:extLst>
        </xdr:cNvPr>
        <xdr:cNvSpPr/>
      </xdr:nvSpPr>
      <xdr:spPr>
        <a:xfrm>
          <a:off x="12966840" y="3410640"/>
          <a:ext cx="1153080" cy="631800"/>
        </a:xfrm>
        <a:prstGeom prst="rect">
          <a:avLst/>
        </a:prstGeom>
        <a:solidFill>
          <a:srgbClr val="FFFFFF"/>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rgbClr val="000000"/>
              </a:solidFill>
              <a:latin typeface="Calibri"/>
            </a:rPr>
            <a:t>Currency exchange impact %</a:t>
          </a:r>
          <a:endParaRPr lang="en-GB" sz="1100" b="0" strike="noStrike" spc="-1">
            <a:latin typeface="Times New Roman"/>
          </a:endParaRPr>
        </a:p>
      </xdr:txBody>
    </xdr:sp>
    <xdr:clientData/>
  </xdr:twoCellAnchor>
  <xdr:twoCellAnchor editAs="absolute">
    <xdr:from>
      <xdr:col>0</xdr:col>
      <xdr:colOff>11906640</xdr:colOff>
      <xdr:row>11</xdr:row>
      <xdr:rowOff>121680</xdr:rowOff>
    </xdr:from>
    <xdr:to>
      <xdr:col>2</xdr:col>
      <xdr:colOff>14760</xdr:colOff>
      <xdr:row>15</xdr:row>
      <xdr:rowOff>29520</xdr:rowOff>
    </xdr:to>
    <xdr:sp macro="" textlink="">
      <xdr:nvSpPr>
        <xdr:cNvPr id="4" name="TextBox 5">
          <a:extLst>
            <a:ext uri="{FF2B5EF4-FFF2-40B4-BE49-F238E27FC236}">
              <a16:creationId xmlns:a16="http://schemas.microsoft.com/office/drawing/2014/main" id="{00000000-0008-0000-0000-000004000000}"/>
            </a:ext>
          </a:extLst>
        </xdr:cNvPr>
        <xdr:cNvSpPr/>
      </xdr:nvSpPr>
      <xdr:spPr>
        <a:xfrm>
          <a:off x="11906640" y="2226600"/>
          <a:ext cx="1149840" cy="631800"/>
        </a:xfrm>
        <a:prstGeom prst="rect">
          <a:avLst/>
        </a:prstGeom>
        <a:solidFill>
          <a:srgbClr val="FFFFFF"/>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rgbClr val="000000"/>
              </a:solidFill>
              <a:latin typeface="Calibri"/>
            </a:rPr>
            <a:t>Total revenue growth rate %</a:t>
          </a:r>
          <a:endParaRPr lang="en-GB" sz="1100" b="0" strike="noStrike" spc="-1">
            <a:latin typeface="Times New Roman"/>
          </a:endParaRPr>
        </a:p>
      </xdr:txBody>
    </xdr:sp>
    <xdr:clientData/>
  </xdr:twoCellAnchor>
  <xdr:twoCellAnchor editAs="absolute">
    <xdr:from>
      <xdr:col>0</xdr:col>
      <xdr:colOff>9754200</xdr:colOff>
      <xdr:row>11</xdr:row>
      <xdr:rowOff>129240</xdr:rowOff>
    </xdr:from>
    <xdr:to>
      <xdr:col>0</xdr:col>
      <xdr:colOff>10900800</xdr:colOff>
      <xdr:row>15</xdr:row>
      <xdr:rowOff>37080</xdr:rowOff>
    </xdr:to>
    <xdr:sp macro="" textlink="">
      <xdr:nvSpPr>
        <xdr:cNvPr id="5" name="TextBox 6">
          <a:extLst>
            <a:ext uri="{FF2B5EF4-FFF2-40B4-BE49-F238E27FC236}">
              <a16:creationId xmlns:a16="http://schemas.microsoft.com/office/drawing/2014/main" id="{00000000-0008-0000-0000-000005000000}"/>
            </a:ext>
          </a:extLst>
        </xdr:cNvPr>
        <xdr:cNvSpPr/>
      </xdr:nvSpPr>
      <xdr:spPr>
        <a:xfrm>
          <a:off x="9754200" y="2234160"/>
          <a:ext cx="1146600" cy="631800"/>
        </a:xfrm>
        <a:prstGeom prst="rect">
          <a:avLst/>
        </a:prstGeom>
        <a:solidFill>
          <a:srgbClr val="FFFFFF"/>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rgbClr val="000000"/>
              </a:solidFill>
              <a:latin typeface="Calibri"/>
            </a:rPr>
            <a:t>Previous year revenue X (1+ growth rate)</a:t>
          </a:r>
          <a:endParaRPr lang="en-GB" sz="1100" b="0" strike="noStrike" spc="-1">
            <a:latin typeface="Times New Roman"/>
          </a:endParaRPr>
        </a:p>
      </xdr:txBody>
    </xdr:sp>
    <xdr:clientData/>
  </xdr:twoCellAnchor>
  <xdr:twoCellAnchor editAs="absolute">
    <xdr:from>
      <xdr:col>0</xdr:col>
      <xdr:colOff>7216200</xdr:colOff>
      <xdr:row>11</xdr:row>
      <xdr:rowOff>83880</xdr:rowOff>
    </xdr:from>
    <xdr:to>
      <xdr:col>0</xdr:col>
      <xdr:colOff>8362800</xdr:colOff>
      <xdr:row>14</xdr:row>
      <xdr:rowOff>172800</xdr:rowOff>
    </xdr:to>
    <xdr:sp macro="" textlink="">
      <xdr:nvSpPr>
        <xdr:cNvPr id="6" name="TextBox 7">
          <a:extLst>
            <a:ext uri="{FF2B5EF4-FFF2-40B4-BE49-F238E27FC236}">
              <a16:creationId xmlns:a16="http://schemas.microsoft.com/office/drawing/2014/main" id="{00000000-0008-0000-0000-000006000000}"/>
            </a:ext>
          </a:extLst>
        </xdr:cNvPr>
        <xdr:cNvSpPr/>
      </xdr:nvSpPr>
      <xdr:spPr>
        <a:xfrm>
          <a:off x="7216200" y="2188800"/>
          <a:ext cx="1146600" cy="631800"/>
        </a:xfrm>
        <a:prstGeom prst="rect">
          <a:avLst/>
        </a:prstGeom>
        <a:solidFill>
          <a:srgbClr val="FFFFFF"/>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rgbClr val="000000"/>
              </a:solidFill>
              <a:latin typeface="Calibri"/>
            </a:rPr>
            <a:t>Projected revenue</a:t>
          </a:r>
          <a:endParaRPr lang="en-GB" sz="1100" b="0" strike="noStrike" spc="-1">
            <a:latin typeface="Times New Roman"/>
          </a:endParaRPr>
        </a:p>
      </xdr:txBody>
    </xdr:sp>
    <xdr:clientData/>
  </xdr:twoCellAnchor>
  <xdr:twoCellAnchor editAs="absolute">
    <xdr:from>
      <xdr:col>0</xdr:col>
      <xdr:colOff>8589600</xdr:colOff>
      <xdr:row>12</xdr:row>
      <xdr:rowOff>159120</xdr:rowOff>
    </xdr:from>
    <xdr:to>
      <xdr:col>0</xdr:col>
      <xdr:colOff>9503280</xdr:colOff>
      <xdr:row>12</xdr:row>
      <xdr:rowOff>159480</xdr:rowOff>
    </xdr:to>
    <xdr:sp macro="" textlink="">
      <xdr:nvSpPr>
        <xdr:cNvPr id="7" name="Straight Arrow Connector 9">
          <a:extLst>
            <a:ext uri="{FF2B5EF4-FFF2-40B4-BE49-F238E27FC236}">
              <a16:creationId xmlns:a16="http://schemas.microsoft.com/office/drawing/2014/main" id="{00000000-0008-0000-0000-000007000000}"/>
            </a:ext>
          </a:extLst>
        </xdr:cNvPr>
        <xdr:cNvSpPr/>
      </xdr:nvSpPr>
      <xdr:spPr>
        <a:xfrm>
          <a:off x="8589600" y="2445120"/>
          <a:ext cx="913680" cy="360"/>
        </a:xfrm>
        <a:custGeom>
          <a:avLst/>
          <a:gdLst/>
          <a:ahLst/>
          <a:cxnLst/>
          <a:rect l="l" t="t" r="r" b="b"/>
          <a:pathLst>
            <a:path w="21600" h="21600">
              <a:moveTo>
                <a:pt x="0" y="0"/>
              </a:moveTo>
              <a:lnTo>
                <a:pt x="21600" y="21600"/>
              </a:lnTo>
            </a:path>
          </a:pathLst>
        </a:custGeom>
        <a:noFill/>
        <a:ln w="0">
          <a:solidFill>
            <a:srgbClr val="4472C4"/>
          </a:solidFill>
          <a:tailEnd type="triangle" w="med" len="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10942920</xdr:colOff>
      <xdr:row>13</xdr:row>
      <xdr:rowOff>23400</xdr:rowOff>
    </xdr:from>
    <xdr:to>
      <xdr:col>0</xdr:col>
      <xdr:colOff>11856600</xdr:colOff>
      <xdr:row>13</xdr:row>
      <xdr:rowOff>23760</xdr:rowOff>
    </xdr:to>
    <xdr:sp macro="" textlink="">
      <xdr:nvSpPr>
        <xdr:cNvPr id="8" name="Straight Arrow Connector 11">
          <a:extLst>
            <a:ext uri="{FF2B5EF4-FFF2-40B4-BE49-F238E27FC236}">
              <a16:creationId xmlns:a16="http://schemas.microsoft.com/office/drawing/2014/main" id="{00000000-0008-0000-0000-000008000000}"/>
            </a:ext>
          </a:extLst>
        </xdr:cNvPr>
        <xdr:cNvSpPr/>
      </xdr:nvSpPr>
      <xdr:spPr>
        <a:xfrm>
          <a:off x="10942920" y="2490480"/>
          <a:ext cx="913680" cy="360"/>
        </a:xfrm>
        <a:custGeom>
          <a:avLst/>
          <a:gdLst/>
          <a:ahLst/>
          <a:cxnLst/>
          <a:rect l="l" t="t" r="r" b="b"/>
          <a:pathLst>
            <a:path w="21600" h="21600">
              <a:moveTo>
                <a:pt x="0" y="0"/>
              </a:moveTo>
              <a:lnTo>
                <a:pt x="21600" y="21600"/>
              </a:lnTo>
            </a:path>
          </a:pathLst>
        </a:custGeom>
        <a:noFill/>
        <a:ln w="0">
          <a:solidFill>
            <a:srgbClr val="4472C4"/>
          </a:solidFill>
          <a:tailEnd type="triangle" w="med" len="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11808000</xdr:colOff>
      <xdr:row>15</xdr:row>
      <xdr:rowOff>139680</xdr:rowOff>
    </xdr:from>
    <xdr:to>
      <xdr:col>2</xdr:col>
      <xdr:colOff>193320</xdr:colOff>
      <xdr:row>17</xdr:row>
      <xdr:rowOff>133920</xdr:rowOff>
    </xdr:to>
    <xdr:sp macro="" textlink="">
      <xdr:nvSpPr>
        <xdr:cNvPr id="9" name="Right Brace 12">
          <a:extLst>
            <a:ext uri="{FF2B5EF4-FFF2-40B4-BE49-F238E27FC236}">
              <a16:creationId xmlns:a16="http://schemas.microsoft.com/office/drawing/2014/main" id="{00000000-0008-0000-0000-000009000000}"/>
            </a:ext>
          </a:extLst>
        </xdr:cNvPr>
        <xdr:cNvSpPr/>
      </xdr:nvSpPr>
      <xdr:spPr>
        <a:xfrm rot="16200000" flipV="1">
          <a:off x="12343320" y="2433240"/>
          <a:ext cx="356400" cy="1427040"/>
        </a:xfrm>
        <a:prstGeom prst="rightBrace">
          <a:avLst>
            <a:gd name="adj1" fmla="val 8333"/>
            <a:gd name="adj2" fmla="val 50000"/>
          </a:avLst>
        </a:prstGeom>
        <a:noFill/>
        <a:ln w="0">
          <a:solidFill>
            <a:srgbClr val="4472C4"/>
          </a:solidFill>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434520</xdr:colOff>
      <xdr:row>14</xdr:row>
      <xdr:rowOff>119160</xdr:rowOff>
    </xdr:from>
    <xdr:to>
      <xdr:col>0</xdr:col>
      <xdr:colOff>2002320</xdr:colOff>
      <xdr:row>25</xdr:row>
      <xdr:rowOff>141840</xdr:rowOff>
    </xdr:to>
    <xdr:sp macro="" textlink="">
      <xdr:nvSpPr>
        <xdr:cNvPr id="10" name="TextBox 14">
          <a:extLst>
            <a:ext uri="{FF2B5EF4-FFF2-40B4-BE49-F238E27FC236}">
              <a16:creationId xmlns:a16="http://schemas.microsoft.com/office/drawing/2014/main" id="{00000000-0008-0000-0000-00000A000000}"/>
            </a:ext>
          </a:extLst>
        </xdr:cNvPr>
        <xdr:cNvSpPr/>
      </xdr:nvSpPr>
      <xdr:spPr>
        <a:xfrm>
          <a:off x="434520" y="2766960"/>
          <a:ext cx="1567800" cy="2013480"/>
        </a:xfrm>
        <a:prstGeom prst="rect">
          <a:avLst/>
        </a:prstGeom>
        <a:solidFill>
          <a:srgbClr val="FFFFFF"/>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rgbClr val="000000"/>
              </a:solidFill>
              <a:latin typeface="Calibri"/>
            </a:rPr>
            <a:t>Nike Group:</a:t>
          </a:r>
          <a:endParaRPr lang="en-GB" sz="1100" b="0" strike="noStrike" spc="-1">
            <a:latin typeface="Times New Roman"/>
          </a:endParaRPr>
        </a:p>
        <a:p>
          <a:pPr>
            <a:lnSpc>
              <a:spcPct val="100000"/>
            </a:lnSpc>
          </a:pPr>
          <a:r>
            <a:rPr lang="en-US" sz="1100" b="0" strike="noStrike" spc="-1">
              <a:solidFill>
                <a:srgbClr val="000000"/>
              </a:solidFill>
              <a:latin typeface="Calibri"/>
            </a:rPr>
            <a:t>Revenue</a:t>
          </a:r>
          <a:endParaRPr lang="en-GB" sz="1100" b="0" strike="noStrike" spc="-1">
            <a:latin typeface="Times New Roman"/>
          </a:endParaRPr>
        </a:p>
        <a:p>
          <a:pPr>
            <a:lnSpc>
              <a:spcPct val="100000"/>
            </a:lnSpc>
          </a:pPr>
          <a:r>
            <a:rPr lang="en-US" sz="1100" b="0" strike="noStrike" spc="-1">
              <a:solidFill>
                <a:srgbClr val="000000"/>
              </a:solidFill>
              <a:latin typeface="Calibri"/>
            </a:rPr>
            <a:t>EBITDA</a:t>
          </a:r>
          <a:endParaRPr lang="en-GB" sz="1100" b="0" strike="noStrike" spc="-1">
            <a:latin typeface="Times New Roman"/>
          </a:endParaRPr>
        </a:p>
        <a:p>
          <a:pPr>
            <a:lnSpc>
              <a:spcPct val="100000"/>
            </a:lnSpc>
          </a:pPr>
          <a:r>
            <a:rPr lang="en-US" sz="1100" b="0" strike="noStrike" spc="-1">
              <a:solidFill>
                <a:srgbClr val="000000"/>
              </a:solidFill>
              <a:latin typeface="Calibri"/>
            </a:rPr>
            <a:t>PPE</a:t>
          </a:r>
          <a:endParaRPr lang="en-GB" sz="1100" b="0" strike="noStrike" spc="-1">
            <a:latin typeface="Times New Roman"/>
          </a:endParaRPr>
        </a:p>
        <a:p>
          <a:pPr>
            <a:lnSpc>
              <a:spcPct val="100000"/>
            </a:lnSpc>
          </a:pPr>
          <a:r>
            <a:rPr lang="en-US" sz="1100" b="0" strike="noStrike" spc="-1">
              <a:solidFill>
                <a:srgbClr val="000000"/>
              </a:solidFill>
              <a:latin typeface="Calibri"/>
            </a:rPr>
            <a:t>Capex</a:t>
          </a:r>
          <a:endParaRPr lang="en-GB" sz="1100" b="0" strike="noStrike" spc="-1">
            <a:latin typeface="Times New Roman"/>
          </a:endParaRPr>
        </a:p>
        <a:p>
          <a:pPr>
            <a:lnSpc>
              <a:spcPct val="100000"/>
            </a:lnSpc>
          </a:pPr>
          <a:r>
            <a:rPr lang="en-US" sz="1100" b="0" strike="noStrike" spc="-1">
              <a:solidFill>
                <a:srgbClr val="000000"/>
              </a:solidFill>
              <a:latin typeface="Calibri"/>
            </a:rPr>
            <a:t>Depreciation &amp; Amortization</a:t>
          </a:r>
          <a:endParaRPr lang="en-GB" sz="1100" b="0" strike="noStrike" spc="-1">
            <a:latin typeface="Times New Roman"/>
          </a:endParaRPr>
        </a:p>
        <a:p>
          <a:pPr>
            <a:lnSpc>
              <a:spcPct val="100000"/>
            </a:lnSpc>
          </a:pPr>
          <a:r>
            <a:rPr lang="en-US" sz="1100" b="0" strike="noStrike" spc="-1">
              <a:solidFill>
                <a:srgbClr val="000000"/>
              </a:solidFill>
              <a:latin typeface="Calibri"/>
            </a:rPr>
            <a:t>EBIT</a:t>
          </a:r>
          <a:endParaRPr lang="en-GB" sz="1100" b="0" strike="noStrike" spc="-1">
            <a:latin typeface="Times New Roman"/>
          </a:endParaRPr>
        </a:p>
      </xdr:txBody>
    </xdr:sp>
    <xdr:clientData/>
  </xdr:twoCellAnchor>
  <xdr:twoCellAnchor editAs="absolute">
    <xdr:from>
      <xdr:col>0</xdr:col>
      <xdr:colOff>3444120</xdr:colOff>
      <xdr:row>11</xdr:row>
      <xdr:rowOff>122040</xdr:rowOff>
    </xdr:from>
    <xdr:to>
      <xdr:col>0</xdr:col>
      <xdr:colOff>4471200</xdr:colOff>
      <xdr:row>13</xdr:row>
      <xdr:rowOff>111240</xdr:rowOff>
    </xdr:to>
    <xdr:sp macro="" textlink="">
      <xdr:nvSpPr>
        <xdr:cNvPr id="11" name="TextBox 15">
          <a:extLst>
            <a:ext uri="{FF2B5EF4-FFF2-40B4-BE49-F238E27FC236}">
              <a16:creationId xmlns:a16="http://schemas.microsoft.com/office/drawing/2014/main" id="{00000000-0008-0000-0000-00000B000000}"/>
            </a:ext>
          </a:extLst>
        </xdr:cNvPr>
        <xdr:cNvSpPr/>
      </xdr:nvSpPr>
      <xdr:spPr>
        <a:xfrm>
          <a:off x="3444120" y="2226960"/>
          <a:ext cx="1027080" cy="351360"/>
        </a:xfrm>
        <a:prstGeom prst="rect">
          <a:avLst/>
        </a:prstGeom>
        <a:solidFill>
          <a:srgbClr val="FFFFFF"/>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rgbClr val="000000"/>
              </a:solidFill>
              <a:latin typeface="Calibri"/>
            </a:rPr>
            <a:t>North America</a:t>
          </a:r>
          <a:endParaRPr lang="en-GB" sz="1100" b="0" strike="noStrike" spc="-1">
            <a:latin typeface="Times New Roman"/>
          </a:endParaRPr>
        </a:p>
      </xdr:txBody>
    </xdr:sp>
    <xdr:clientData/>
  </xdr:twoCellAnchor>
  <xdr:twoCellAnchor editAs="absolute">
    <xdr:from>
      <xdr:col>0</xdr:col>
      <xdr:colOff>3444120</xdr:colOff>
      <xdr:row>14</xdr:row>
      <xdr:rowOff>171000</xdr:rowOff>
    </xdr:from>
    <xdr:to>
      <xdr:col>0</xdr:col>
      <xdr:colOff>4471200</xdr:colOff>
      <xdr:row>19</xdr:row>
      <xdr:rowOff>95400</xdr:rowOff>
    </xdr:to>
    <xdr:sp macro="" textlink="">
      <xdr:nvSpPr>
        <xdr:cNvPr id="12" name="TextBox 16">
          <a:extLst>
            <a:ext uri="{FF2B5EF4-FFF2-40B4-BE49-F238E27FC236}">
              <a16:creationId xmlns:a16="http://schemas.microsoft.com/office/drawing/2014/main" id="{00000000-0008-0000-0000-00000C000000}"/>
            </a:ext>
          </a:extLst>
        </xdr:cNvPr>
        <xdr:cNvSpPr/>
      </xdr:nvSpPr>
      <xdr:spPr>
        <a:xfrm>
          <a:off x="3444120" y="2818800"/>
          <a:ext cx="1027080" cy="829440"/>
        </a:xfrm>
        <a:prstGeom prst="rect">
          <a:avLst/>
        </a:prstGeom>
        <a:solidFill>
          <a:srgbClr val="FFFFFF"/>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rgbClr val="000000"/>
              </a:solidFill>
              <a:latin typeface="Calibri"/>
            </a:rPr>
            <a:t>Europe, Middle East &amp; Africa</a:t>
          </a:r>
          <a:endParaRPr lang="en-GB" sz="1100" b="0" strike="noStrike" spc="-1">
            <a:latin typeface="Times New Roman"/>
          </a:endParaRPr>
        </a:p>
      </xdr:txBody>
    </xdr:sp>
    <xdr:clientData/>
  </xdr:twoCellAnchor>
  <xdr:twoCellAnchor editAs="absolute">
    <xdr:from>
      <xdr:col>0</xdr:col>
      <xdr:colOff>3444120</xdr:colOff>
      <xdr:row>20</xdr:row>
      <xdr:rowOff>82440</xdr:rowOff>
    </xdr:from>
    <xdr:to>
      <xdr:col>0</xdr:col>
      <xdr:colOff>4471200</xdr:colOff>
      <xdr:row>22</xdr:row>
      <xdr:rowOff>72000</xdr:rowOff>
    </xdr:to>
    <xdr:sp macro="" textlink="">
      <xdr:nvSpPr>
        <xdr:cNvPr id="13" name="TextBox 17">
          <a:extLst>
            <a:ext uri="{FF2B5EF4-FFF2-40B4-BE49-F238E27FC236}">
              <a16:creationId xmlns:a16="http://schemas.microsoft.com/office/drawing/2014/main" id="{00000000-0008-0000-0000-00000D000000}"/>
            </a:ext>
          </a:extLst>
        </xdr:cNvPr>
        <xdr:cNvSpPr/>
      </xdr:nvSpPr>
      <xdr:spPr>
        <a:xfrm>
          <a:off x="3444120" y="3816360"/>
          <a:ext cx="1027080" cy="351360"/>
        </a:xfrm>
        <a:prstGeom prst="rect">
          <a:avLst/>
        </a:prstGeom>
        <a:solidFill>
          <a:srgbClr val="FFFFFF"/>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rgbClr val="000000"/>
              </a:solidFill>
              <a:latin typeface="Calibri"/>
            </a:rPr>
            <a:t>Greater China</a:t>
          </a:r>
          <a:endParaRPr lang="en-GB" sz="1100" b="0" strike="noStrike" spc="-1">
            <a:latin typeface="Times New Roman"/>
          </a:endParaRPr>
        </a:p>
      </xdr:txBody>
    </xdr:sp>
    <xdr:clientData/>
  </xdr:twoCellAnchor>
  <xdr:twoCellAnchor editAs="absolute">
    <xdr:from>
      <xdr:col>0</xdr:col>
      <xdr:colOff>3429000</xdr:colOff>
      <xdr:row>24</xdr:row>
      <xdr:rowOff>87120</xdr:rowOff>
    </xdr:from>
    <xdr:to>
      <xdr:col>0</xdr:col>
      <xdr:colOff>4456080</xdr:colOff>
      <xdr:row>28</xdr:row>
      <xdr:rowOff>26640</xdr:rowOff>
    </xdr:to>
    <xdr:sp macro="" textlink="">
      <xdr:nvSpPr>
        <xdr:cNvPr id="14" name="TextBox 18">
          <a:extLst>
            <a:ext uri="{FF2B5EF4-FFF2-40B4-BE49-F238E27FC236}">
              <a16:creationId xmlns:a16="http://schemas.microsoft.com/office/drawing/2014/main" id="{00000000-0008-0000-0000-00000E000000}"/>
            </a:ext>
          </a:extLst>
        </xdr:cNvPr>
        <xdr:cNvSpPr/>
      </xdr:nvSpPr>
      <xdr:spPr>
        <a:xfrm>
          <a:off x="3429000" y="4545000"/>
          <a:ext cx="1027080" cy="663120"/>
        </a:xfrm>
        <a:prstGeom prst="rect">
          <a:avLst/>
        </a:prstGeom>
        <a:solidFill>
          <a:srgbClr val="FFFFFF"/>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rgbClr val="000000"/>
              </a:solidFill>
              <a:latin typeface="Calibri"/>
            </a:rPr>
            <a:t>Asia Pacific &amp; Latin America</a:t>
          </a:r>
          <a:endParaRPr lang="en-GB" sz="1100" b="0" strike="noStrike" spc="-1">
            <a:latin typeface="Times New Roman"/>
          </a:endParaRPr>
        </a:p>
      </xdr:txBody>
    </xdr:sp>
    <xdr:clientData/>
  </xdr:twoCellAnchor>
  <xdr:twoCellAnchor editAs="absolute">
    <xdr:from>
      <xdr:col>0</xdr:col>
      <xdr:colOff>3429000</xdr:colOff>
      <xdr:row>29</xdr:row>
      <xdr:rowOff>3240</xdr:rowOff>
    </xdr:from>
    <xdr:to>
      <xdr:col>0</xdr:col>
      <xdr:colOff>4456080</xdr:colOff>
      <xdr:row>30</xdr:row>
      <xdr:rowOff>173520</xdr:rowOff>
    </xdr:to>
    <xdr:sp macro="" textlink="">
      <xdr:nvSpPr>
        <xdr:cNvPr id="15" name="TextBox 19">
          <a:extLst>
            <a:ext uri="{FF2B5EF4-FFF2-40B4-BE49-F238E27FC236}">
              <a16:creationId xmlns:a16="http://schemas.microsoft.com/office/drawing/2014/main" id="{00000000-0008-0000-0000-00000F000000}"/>
            </a:ext>
          </a:extLst>
        </xdr:cNvPr>
        <xdr:cNvSpPr/>
      </xdr:nvSpPr>
      <xdr:spPr>
        <a:xfrm>
          <a:off x="3429000" y="5365800"/>
          <a:ext cx="1027080" cy="351360"/>
        </a:xfrm>
        <a:prstGeom prst="rect">
          <a:avLst/>
        </a:prstGeom>
        <a:solidFill>
          <a:srgbClr val="FFFFFF"/>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rgbClr val="000000"/>
              </a:solidFill>
              <a:latin typeface="Calibri"/>
            </a:rPr>
            <a:t>Converse</a:t>
          </a:r>
          <a:endParaRPr lang="en-GB" sz="1100" b="0" strike="noStrike" spc="-1">
            <a:latin typeface="Times New Roman"/>
          </a:endParaRPr>
        </a:p>
      </xdr:txBody>
    </xdr:sp>
    <xdr:clientData/>
  </xdr:twoCellAnchor>
  <xdr:twoCellAnchor editAs="absolute">
    <xdr:from>
      <xdr:col>0</xdr:col>
      <xdr:colOff>2061360</xdr:colOff>
      <xdr:row>12</xdr:row>
      <xdr:rowOff>147960</xdr:rowOff>
    </xdr:from>
    <xdr:to>
      <xdr:col>0</xdr:col>
      <xdr:colOff>3317040</xdr:colOff>
      <xdr:row>20</xdr:row>
      <xdr:rowOff>142200</xdr:rowOff>
    </xdr:to>
    <xdr:sp macro="" textlink="">
      <xdr:nvSpPr>
        <xdr:cNvPr id="16" name="Elbow Connector 21">
          <a:extLst>
            <a:ext uri="{FF2B5EF4-FFF2-40B4-BE49-F238E27FC236}">
              <a16:creationId xmlns:a16="http://schemas.microsoft.com/office/drawing/2014/main" id="{00000000-0008-0000-0000-000010000000}"/>
            </a:ext>
          </a:extLst>
        </xdr:cNvPr>
        <xdr:cNvSpPr/>
      </xdr:nvSpPr>
      <xdr:spPr>
        <a:xfrm flipV="1">
          <a:off x="2061360" y="2433960"/>
          <a:ext cx="1255680" cy="1442160"/>
        </a:xfrm>
        <a:prstGeom prst="bentConnector3">
          <a:avLst>
            <a:gd name="adj1" fmla="val 50000"/>
          </a:avLst>
        </a:prstGeom>
        <a:noFill/>
        <a:ln w="0">
          <a:solidFill>
            <a:srgbClr val="4472C4"/>
          </a:solidFill>
          <a:tailEnd type="triangle" w="med" len="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2076480</xdr:colOff>
      <xdr:row>17</xdr:row>
      <xdr:rowOff>42840</xdr:rowOff>
    </xdr:from>
    <xdr:to>
      <xdr:col>0</xdr:col>
      <xdr:colOff>3301560</xdr:colOff>
      <xdr:row>20</xdr:row>
      <xdr:rowOff>142200</xdr:rowOff>
    </xdr:to>
    <xdr:sp macro="" textlink="">
      <xdr:nvSpPr>
        <xdr:cNvPr id="17" name="Elbow Connector 22">
          <a:extLst>
            <a:ext uri="{FF2B5EF4-FFF2-40B4-BE49-F238E27FC236}">
              <a16:creationId xmlns:a16="http://schemas.microsoft.com/office/drawing/2014/main" id="{00000000-0008-0000-0000-000011000000}"/>
            </a:ext>
          </a:extLst>
        </xdr:cNvPr>
        <xdr:cNvSpPr/>
      </xdr:nvSpPr>
      <xdr:spPr>
        <a:xfrm flipV="1">
          <a:off x="2076480" y="3233880"/>
          <a:ext cx="1225080" cy="642240"/>
        </a:xfrm>
        <a:prstGeom prst="bentConnector3">
          <a:avLst>
            <a:gd name="adj1" fmla="val 50000"/>
          </a:avLst>
        </a:prstGeom>
        <a:noFill/>
        <a:ln w="0">
          <a:solidFill>
            <a:srgbClr val="4472C4"/>
          </a:solidFill>
          <a:tailEnd type="triangle" w="med" len="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2068920</xdr:colOff>
      <xdr:row>20</xdr:row>
      <xdr:rowOff>134280</xdr:rowOff>
    </xdr:from>
    <xdr:to>
      <xdr:col>0</xdr:col>
      <xdr:colOff>3309120</xdr:colOff>
      <xdr:row>21</xdr:row>
      <xdr:rowOff>86760</xdr:rowOff>
    </xdr:to>
    <xdr:sp macro="" textlink="">
      <xdr:nvSpPr>
        <xdr:cNvPr id="18" name="Elbow Connector 25">
          <a:extLst>
            <a:ext uri="{FF2B5EF4-FFF2-40B4-BE49-F238E27FC236}">
              <a16:creationId xmlns:a16="http://schemas.microsoft.com/office/drawing/2014/main" id="{00000000-0008-0000-0000-000012000000}"/>
            </a:ext>
          </a:extLst>
        </xdr:cNvPr>
        <xdr:cNvSpPr/>
      </xdr:nvSpPr>
      <xdr:spPr>
        <a:xfrm>
          <a:off x="2068920" y="3868200"/>
          <a:ext cx="1240200" cy="133200"/>
        </a:xfrm>
        <a:prstGeom prst="bentConnector3">
          <a:avLst>
            <a:gd name="adj1" fmla="val 50000"/>
          </a:avLst>
        </a:prstGeom>
        <a:noFill/>
        <a:ln w="0">
          <a:solidFill>
            <a:srgbClr val="4472C4"/>
          </a:solidFill>
          <a:tailEnd type="triangle" w="med" len="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2072520</xdr:colOff>
      <xdr:row>20</xdr:row>
      <xdr:rowOff>147600</xdr:rowOff>
    </xdr:from>
    <xdr:to>
      <xdr:col>0</xdr:col>
      <xdr:colOff>3335760</xdr:colOff>
      <xdr:row>24</xdr:row>
      <xdr:rowOff>169920</xdr:rowOff>
    </xdr:to>
    <xdr:sp macro="" textlink="">
      <xdr:nvSpPr>
        <xdr:cNvPr id="19" name="Elbow Connector 29">
          <a:extLst>
            <a:ext uri="{FF2B5EF4-FFF2-40B4-BE49-F238E27FC236}">
              <a16:creationId xmlns:a16="http://schemas.microsoft.com/office/drawing/2014/main" id="{00000000-0008-0000-0000-000013000000}"/>
            </a:ext>
          </a:extLst>
        </xdr:cNvPr>
        <xdr:cNvSpPr/>
      </xdr:nvSpPr>
      <xdr:spPr>
        <a:xfrm>
          <a:off x="2072520" y="3881520"/>
          <a:ext cx="1263240" cy="746280"/>
        </a:xfrm>
        <a:prstGeom prst="bentConnector3">
          <a:avLst>
            <a:gd name="adj1" fmla="val 50000"/>
          </a:avLst>
        </a:prstGeom>
        <a:noFill/>
        <a:ln w="0">
          <a:solidFill>
            <a:srgbClr val="4472C4"/>
          </a:solidFill>
          <a:tailEnd type="triangle" w="med" len="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2122200</xdr:colOff>
      <xdr:row>20</xdr:row>
      <xdr:rowOff>147600</xdr:rowOff>
    </xdr:from>
    <xdr:to>
      <xdr:col>0</xdr:col>
      <xdr:colOff>3286440</xdr:colOff>
      <xdr:row>29</xdr:row>
      <xdr:rowOff>2520</xdr:rowOff>
    </xdr:to>
    <xdr:sp macro="" textlink="">
      <xdr:nvSpPr>
        <xdr:cNvPr id="20" name="Elbow Connector 53">
          <a:extLst>
            <a:ext uri="{FF2B5EF4-FFF2-40B4-BE49-F238E27FC236}">
              <a16:creationId xmlns:a16="http://schemas.microsoft.com/office/drawing/2014/main" id="{00000000-0008-0000-0000-000014000000}"/>
            </a:ext>
          </a:extLst>
        </xdr:cNvPr>
        <xdr:cNvSpPr/>
      </xdr:nvSpPr>
      <xdr:spPr>
        <a:xfrm>
          <a:off x="2122200" y="3881520"/>
          <a:ext cx="1164240" cy="1483560"/>
        </a:xfrm>
        <a:prstGeom prst="bentConnector3">
          <a:avLst>
            <a:gd name="adj1" fmla="val 50000"/>
          </a:avLst>
        </a:prstGeom>
        <a:noFill/>
        <a:ln w="0">
          <a:solidFill>
            <a:srgbClr val="4472C4"/>
          </a:solidFill>
          <a:tailEnd type="triangle" w="med" len="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4473000</xdr:colOff>
      <xdr:row>12</xdr:row>
      <xdr:rowOff>15120</xdr:rowOff>
    </xdr:from>
    <xdr:to>
      <xdr:col>0</xdr:col>
      <xdr:colOff>5180040</xdr:colOff>
      <xdr:row>13</xdr:row>
      <xdr:rowOff>65880</xdr:rowOff>
    </xdr:to>
    <xdr:sp macro="" textlink="">
      <xdr:nvSpPr>
        <xdr:cNvPr id="21" name="Elbow Connector 71">
          <a:extLst>
            <a:ext uri="{FF2B5EF4-FFF2-40B4-BE49-F238E27FC236}">
              <a16:creationId xmlns:a16="http://schemas.microsoft.com/office/drawing/2014/main" id="{00000000-0008-0000-0000-000015000000}"/>
            </a:ext>
          </a:extLst>
        </xdr:cNvPr>
        <xdr:cNvSpPr/>
      </xdr:nvSpPr>
      <xdr:spPr>
        <a:xfrm>
          <a:off x="4473000" y="2301120"/>
          <a:ext cx="707040" cy="231840"/>
        </a:xfrm>
        <a:prstGeom prst="bentConnector3">
          <a:avLst>
            <a:gd name="adj1" fmla="val 50000"/>
          </a:avLst>
        </a:prstGeom>
        <a:noFill/>
        <a:ln w="0">
          <a:solidFill>
            <a:srgbClr val="4472C4"/>
          </a:solidFill>
          <a:tailEnd type="triangle" w="med" len="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5257800</xdr:colOff>
      <xdr:row>8</xdr:row>
      <xdr:rowOff>0</xdr:rowOff>
    </xdr:from>
    <xdr:to>
      <xdr:col>0</xdr:col>
      <xdr:colOff>6231240</xdr:colOff>
      <xdr:row>9</xdr:row>
      <xdr:rowOff>96120</xdr:rowOff>
    </xdr:to>
    <xdr:sp macro="" textlink="">
      <xdr:nvSpPr>
        <xdr:cNvPr id="22" name="TextBox 66">
          <a:extLst>
            <a:ext uri="{FF2B5EF4-FFF2-40B4-BE49-F238E27FC236}">
              <a16:creationId xmlns:a16="http://schemas.microsoft.com/office/drawing/2014/main" id="{00000000-0008-0000-0000-000016000000}"/>
            </a:ext>
          </a:extLst>
        </xdr:cNvPr>
        <xdr:cNvSpPr/>
      </xdr:nvSpPr>
      <xdr:spPr>
        <a:xfrm>
          <a:off x="5257800" y="1562040"/>
          <a:ext cx="973440" cy="277200"/>
        </a:xfrm>
        <a:prstGeom prst="rect">
          <a:avLst/>
        </a:prstGeom>
        <a:solidFill>
          <a:srgbClr val="FFFFFF"/>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rgbClr val="000000"/>
              </a:solidFill>
              <a:latin typeface="Calibri"/>
            </a:rPr>
            <a:t>Footwear</a:t>
          </a:r>
          <a:endParaRPr lang="en-GB" sz="1100" b="0" strike="noStrike" spc="-1">
            <a:latin typeface="Times New Roman"/>
          </a:endParaRPr>
        </a:p>
      </xdr:txBody>
    </xdr:sp>
    <xdr:clientData/>
  </xdr:twoCellAnchor>
  <xdr:twoCellAnchor editAs="absolute">
    <xdr:from>
      <xdr:col>0</xdr:col>
      <xdr:colOff>5257800</xdr:colOff>
      <xdr:row>10</xdr:row>
      <xdr:rowOff>82800</xdr:rowOff>
    </xdr:from>
    <xdr:to>
      <xdr:col>0</xdr:col>
      <xdr:colOff>6193440</xdr:colOff>
      <xdr:row>11</xdr:row>
      <xdr:rowOff>126360</xdr:rowOff>
    </xdr:to>
    <xdr:sp macro="" textlink="">
      <xdr:nvSpPr>
        <xdr:cNvPr id="23" name="TextBox 67">
          <a:extLst>
            <a:ext uri="{FF2B5EF4-FFF2-40B4-BE49-F238E27FC236}">
              <a16:creationId xmlns:a16="http://schemas.microsoft.com/office/drawing/2014/main" id="{00000000-0008-0000-0000-000017000000}"/>
            </a:ext>
          </a:extLst>
        </xdr:cNvPr>
        <xdr:cNvSpPr/>
      </xdr:nvSpPr>
      <xdr:spPr>
        <a:xfrm>
          <a:off x="5257800" y="2007000"/>
          <a:ext cx="935640" cy="224280"/>
        </a:xfrm>
        <a:prstGeom prst="rect">
          <a:avLst/>
        </a:prstGeom>
        <a:solidFill>
          <a:srgbClr val="FFFFFF"/>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rgbClr val="000000"/>
              </a:solidFill>
              <a:latin typeface="Calibri"/>
            </a:rPr>
            <a:t>Apparel</a:t>
          </a:r>
          <a:endParaRPr lang="en-GB" sz="1100" b="0" strike="noStrike" spc="-1">
            <a:latin typeface="Times New Roman"/>
          </a:endParaRPr>
        </a:p>
      </xdr:txBody>
    </xdr:sp>
    <xdr:clientData/>
  </xdr:twoCellAnchor>
  <xdr:twoCellAnchor editAs="absolute">
    <xdr:from>
      <xdr:col>0</xdr:col>
      <xdr:colOff>5257800</xdr:colOff>
      <xdr:row>12</xdr:row>
      <xdr:rowOff>113040</xdr:rowOff>
    </xdr:from>
    <xdr:to>
      <xdr:col>0</xdr:col>
      <xdr:colOff>6201000</xdr:colOff>
      <xdr:row>14</xdr:row>
      <xdr:rowOff>5760</xdr:rowOff>
    </xdr:to>
    <xdr:sp macro="" textlink="">
      <xdr:nvSpPr>
        <xdr:cNvPr id="24" name="TextBox 68">
          <a:extLst>
            <a:ext uri="{FF2B5EF4-FFF2-40B4-BE49-F238E27FC236}">
              <a16:creationId xmlns:a16="http://schemas.microsoft.com/office/drawing/2014/main" id="{00000000-0008-0000-0000-000018000000}"/>
            </a:ext>
          </a:extLst>
        </xdr:cNvPr>
        <xdr:cNvSpPr/>
      </xdr:nvSpPr>
      <xdr:spPr>
        <a:xfrm>
          <a:off x="5257800" y="2399040"/>
          <a:ext cx="943200" cy="254520"/>
        </a:xfrm>
        <a:prstGeom prst="rect">
          <a:avLst/>
        </a:prstGeom>
        <a:solidFill>
          <a:srgbClr val="FFFFFF"/>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rgbClr val="000000"/>
              </a:solidFill>
              <a:latin typeface="Calibri"/>
            </a:rPr>
            <a:t>Equipment</a:t>
          </a:r>
          <a:endParaRPr lang="en-GB" sz="1100" b="0" strike="noStrike" spc="-1">
            <a:latin typeface="Times New Roman"/>
          </a:endParaRPr>
        </a:p>
      </xdr:txBody>
    </xdr:sp>
    <xdr:clientData/>
  </xdr:twoCellAnchor>
  <xdr:twoCellAnchor editAs="absolute">
    <xdr:from>
      <xdr:col>0</xdr:col>
      <xdr:colOff>4480560</xdr:colOff>
      <xdr:row>8</xdr:row>
      <xdr:rowOff>134640</xdr:rowOff>
    </xdr:from>
    <xdr:to>
      <xdr:col>0</xdr:col>
      <xdr:colOff>5172120</xdr:colOff>
      <xdr:row>11</xdr:row>
      <xdr:rowOff>178200</xdr:rowOff>
    </xdr:to>
    <xdr:sp macro="" textlink="">
      <xdr:nvSpPr>
        <xdr:cNvPr id="25" name="Elbow Connector 70">
          <a:extLst>
            <a:ext uri="{FF2B5EF4-FFF2-40B4-BE49-F238E27FC236}">
              <a16:creationId xmlns:a16="http://schemas.microsoft.com/office/drawing/2014/main" id="{00000000-0008-0000-0000-000019000000}"/>
            </a:ext>
          </a:extLst>
        </xdr:cNvPr>
        <xdr:cNvSpPr/>
      </xdr:nvSpPr>
      <xdr:spPr>
        <a:xfrm flipV="1">
          <a:off x="4480560" y="1696320"/>
          <a:ext cx="691560" cy="586440"/>
        </a:xfrm>
        <a:prstGeom prst="bentConnector3">
          <a:avLst>
            <a:gd name="adj1" fmla="val 50000"/>
          </a:avLst>
        </a:prstGeom>
        <a:noFill/>
        <a:ln w="0">
          <a:solidFill>
            <a:srgbClr val="4472C4"/>
          </a:solidFill>
          <a:tailEnd type="triangle" w="med" len="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4495680</xdr:colOff>
      <xdr:row>10</xdr:row>
      <xdr:rowOff>172440</xdr:rowOff>
    </xdr:from>
    <xdr:to>
      <xdr:col>0</xdr:col>
      <xdr:colOff>5157000</xdr:colOff>
      <xdr:row>12</xdr:row>
      <xdr:rowOff>5040</xdr:rowOff>
    </xdr:to>
    <xdr:sp macro="" textlink="">
      <xdr:nvSpPr>
        <xdr:cNvPr id="26" name="Elbow Connector 76">
          <a:extLst>
            <a:ext uri="{FF2B5EF4-FFF2-40B4-BE49-F238E27FC236}">
              <a16:creationId xmlns:a16="http://schemas.microsoft.com/office/drawing/2014/main" id="{00000000-0008-0000-0000-00001A000000}"/>
            </a:ext>
          </a:extLst>
        </xdr:cNvPr>
        <xdr:cNvSpPr/>
      </xdr:nvSpPr>
      <xdr:spPr>
        <a:xfrm flipV="1">
          <a:off x="4495680" y="2096640"/>
          <a:ext cx="661320" cy="194400"/>
        </a:xfrm>
        <a:prstGeom prst="bentConnector3">
          <a:avLst>
            <a:gd name="adj1" fmla="val 50000"/>
          </a:avLst>
        </a:prstGeom>
        <a:noFill/>
        <a:ln w="0">
          <a:solidFill>
            <a:srgbClr val="4472C4"/>
          </a:solidFill>
          <a:tailEnd type="triangle" w="med" len="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5303520</xdr:colOff>
      <xdr:row>14</xdr:row>
      <xdr:rowOff>68760</xdr:rowOff>
    </xdr:from>
    <xdr:to>
      <xdr:col>0</xdr:col>
      <xdr:colOff>6276960</xdr:colOff>
      <xdr:row>15</xdr:row>
      <xdr:rowOff>164880</xdr:rowOff>
    </xdr:to>
    <xdr:sp macro="" textlink="">
      <xdr:nvSpPr>
        <xdr:cNvPr id="27" name="TextBox 146">
          <a:extLst>
            <a:ext uri="{FF2B5EF4-FFF2-40B4-BE49-F238E27FC236}">
              <a16:creationId xmlns:a16="http://schemas.microsoft.com/office/drawing/2014/main" id="{00000000-0008-0000-0000-00001B000000}"/>
            </a:ext>
          </a:extLst>
        </xdr:cNvPr>
        <xdr:cNvSpPr/>
      </xdr:nvSpPr>
      <xdr:spPr>
        <a:xfrm>
          <a:off x="5303520" y="2716560"/>
          <a:ext cx="973440" cy="277200"/>
        </a:xfrm>
        <a:prstGeom prst="rect">
          <a:avLst/>
        </a:prstGeom>
        <a:solidFill>
          <a:srgbClr val="FFFFFF"/>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rgbClr val="000000"/>
              </a:solidFill>
              <a:latin typeface="Calibri"/>
            </a:rPr>
            <a:t>Footwear</a:t>
          </a:r>
          <a:endParaRPr lang="en-GB" sz="1100" b="0" strike="noStrike" spc="-1">
            <a:latin typeface="Times New Roman"/>
          </a:endParaRPr>
        </a:p>
      </xdr:txBody>
    </xdr:sp>
    <xdr:clientData/>
  </xdr:twoCellAnchor>
  <xdr:twoCellAnchor editAs="absolute">
    <xdr:from>
      <xdr:col>0</xdr:col>
      <xdr:colOff>5303520</xdr:colOff>
      <xdr:row>16</xdr:row>
      <xdr:rowOff>151560</xdr:rowOff>
    </xdr:from>
    <xdr:to>
      <xdr:col>0</xdr:col>
      <xdr:colOff>6239160</xdr:colOff>
      <xdr:row>18</xdr:row>
      <xdr:rowOff>14400</xdr:rowOff>
    </xdr:to>
    <xdr:sp macro="" textlink="">
      <xdr:nvSpPr>
        <xdr:cNvPr id="28" name="TextBox 147">
          <a:extLst>
            <a:ext uri="{FF2B5EF4-FFF2-40B4-BE49-F238E27FC236}">
              <a16:creationId xmlns:a16="http://schemas.microsoft.com/office/drawing/2014/main" id="{00000000-0008-0000-0000-00001C000000}"/>
            </a:ext>
          </a:extLst>
        </xdr:cNvPr>
        <xdr:cNvSpPr/>
      </xdr:nvSpPr>
      <xdr:spPr>
        <a:xfrm>
          <a:off x="5303520" y="3161520"/>
          <a:ext cx="935640" cy="224640"/>
        </a:xfrm>
        <a:prstGeom prst="rect">
          <a:avLst/>
        </a:prstGeom>
        <a:solidFill>
          <a:srgbClr val="FFFFFF"/>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rgbClr val="000000"/>
              </a:solidFill>
              <a:latin typeface="Calibri"/>
            </a:rPr>
            <a:t>Apparel</a:t>
          </a:r>
          <a:endParaRPr lang="en-GB" sz="1100" b="0" strike="noStrike" spc="-1">
            <a:latin typeface="Times New Roman"/>
          </a:endParaRPr>
        </a:p>
      </xdr:txBody>
    </xdr:sp>
    <xdr:clientData/>
  </xdr:twoCellAnchor>
  <xdr:twoCellAnchor editAs="absolute">
    <xdr:from>
      <xdr:col>0</xdr:col>
      <xdr:colOff>5303520</xdr:colOff>
      <xdr:row>19</xdr:row>
      <xdr:rowOff>720</xdr:rowOff>
    </xdr:from>
    <xdr:to>
      <xdr:col>0</xdr:col>
      <xdr:colOff>6246720</xdr:colOff>
      <xdr:row>20</xdr:row>
      <xdr:rowOff>74160</xdr:rowOff>
    </xdr:to>
    <xdr:sp macro="" textlink="">
      <xdr:nvSpPr>
        <xdr:cNvPr id="29" name="TextBox 148">
          <a:extLst>
            <a:ext uri="{FF2B5EF4-FFF2-40B4-BE49-F238E27FC236}">
              <a16:creationId xmlns:a16="http://schemas.microsoft.com/office/drawing/2014/main" id="{00000000-0008-0000-0000-00001D000000}"/>
            </a:ext>
          </a:extLst>
        </xdr:cNvPr>
        <xdr:cNvSpPr/>
      </xdr:nvSpPr>
      <xdr:spPr>
        <a:xfrm>
          <a:off x="5303520" y="3553560"/>
          <a:ext cx="943200" cy="254520"/>
        </a:xfrm>
        <a:prstGeom prst="rect">
          <a:avLst/>
        </a:prstGeom>
        <a:solidFill>
          <a:srgbClr val="FFFFFF"/>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rgbClr val="000000"/>
              </a:solidFill>
              <a:latin typeface="Calibri"/>
            </a:rPr>
            <a:t>Equipment</a:t>
          </a:r>
          <a:endParaRPr lang="en-GB" sz="1100" b="0" strike="noStrike" spc="-1">
            <a:latin typeface="Times New Roman"/>
          </a:endParaRPr>
        </a:p>
      </xdr:txBody>
    </xdr:sp>
    <xdr:clientData/>
  </xdr:twoCellAnchor>
  <xdr:twoCellAnchor editAs="absolute">
    <xdr:from>
      <xdr:col>0</xdr:col>
      <xdr:colOff>4526280</xdr:colOff>
      <xdr:row>15</xdr:row>
      <xdr:rowOff>22320</xdr:rowOff>
    </xdr:from>
    <xdr:to>
      <xdr:col>0</xdr:col>
      <xdr:colOff>5217840</xdr:colOff>
      <xdr:row>15</xdr:row>
      <xdr:rowOff>103320</xdr:rowOff>
    </xdr:to>
    <xdr:sp macro="" textlink="">
      <xdr:nvSpPr>
        <xdr:cNvPr id="30" name="Elbow Connector 149">
          <a:extLst>
            <a:ext uri="{FF2B5EF4-FFF2-40B4-BE49-F238E27FC236}">
              <a16:creationId xmlns:a16="http://schemas.microsoft.com/office/drawing/2014/main" id="{00000000-0008-0000-0000-00001E000000}"/>
            </a:ext>
          </a:extLst>
        </xdr:cNvPr>
        <xdr:cNvSpPr/>
      </xdr:nvSpPr>
      <xdr:spPr>
        <a:xfrm flipV="1">
          <a:off x="4526280" y="2850840"/>
          <a:ext cx="691560" cy="81000"/>
        </a:xfrm>
        <a:prstGeom prst="bentConnector3">
          <a:avLst>
            <a:gd name="adj1" fmla="val 43407"/>
          </a:avLst>
        </a:prstGeom>
        <a:noFill/>
        <a:ln w="0">
          <a:solidFill>
            <a:srgbClr val="4472C4"/>
          </a:solidFill>
          <a:tailEnd type="triangle" w="med" len="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4488120</xdr:colOff>
      <xdr:row>15</xdr:row>
      <xdr:rowOff>106200</xdr:rowOff>
    </xdr:from>
    <xdr:to>
      <xdr:col>0</xdr:col>
      <xdr:colOff>5202720</xdr:colOff>
      <xdr:row>17</xdr:row>
      <xdr:rowOff>59040</xdr:rowOff>
    </xdr:to>
    <xdr:sp macro="" textlink="">
      <xdr:nvSpPr>
        <xdr:cNvPr id="31" name="Elbow Connector 150">
          <a:extLst>
            <a:ext uri="{FF2B5EF4-FFF2-40B4-BE49-F238E27FC236}">
              <a16:creationId xmlns:a16="http://schemas.microsoft.com/office/drawing/2014/main" id="{00000000-0008-0000-0000-00001F000000}"/>
            </a:ext>
          </a:extLst>
        </xdr:cNvPr>
        <xdr:cNvSpPr/>
      </xdr:nvSpPr>
      <xdr:spPr>
        <a:xfrm>
          <a:off x="4488120" y="2935080"/>
          <a:ext cx="714600" cy="315000"/>
        </a:xfrm>
        <a:prstGeom prst="bentConnector3">
          <a:avLst>
            <a:gd name="adj1" fmla="val 46809"/>
          </a:avLst>
        </a:prstGeom>
        <a:noFill/>
        <a:ln w="0">
          <a:solidFill>
            <a:srgbClr val="4472C4"/>
          </a:solidFill>
          <a:tailEnd type="triangle" w="med" len="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4480560</xdr:colOff>
      <xdr:row>15</xdr:row>
      <xdr:rowOff>98640</xdr:rowOff>
    </xdr:from>
    <xdr:to>
      <xdr:col>0</xdr:col>
      <xdr:colOff>5233320</xdr:colOff>
      <xdr:row>19</xdr:row>
      <xdr:rowOff>111960</xdr:rowOff>
    </xdr:to>
    <xdr:sp macro="" textlink="">
      <xdr:nvSpPr>
        <xdr:cNvPr id="32" name="Elbow Connector 162">
          <a:extLst>
            <a:ext uri="{FF2B5EF4-FFF2-40B4-BE49-F238E27FC236}">
              <a16:creationId xmlns:a16="http://schemas.microsoft.com/office/drawing/2014/main" id="{00000000-0008-0000-0000-000020000000}"/>
            </a:ext>
          </a:extLst>
        </xdr:cNvPr>
        <xdr:cNvSpPr/>
      </xdr:nvSpPr>
      <xdr:spPr>
        <a:xfrm>
          <a:off x="4480560" y="2927520"/>
          <a:ext cx="752760" cy="737280"/>
        </a:xfrm>
        <a:prstGeom prst="bentConnector3">
          <a:avLst>
            <a:gd name="adj1" fmla="val 44949"/>
          </a:avLst>
        </a:prstGeom>
        <a:noFill/>
        <a:ln w="0">
          <a:solidFill>
            <a:srgbClr val="4472C4"/>
          </a:solidFill>
          <a:tailEnd type="triangle" w="med" len="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5463720</xdr:colOff>
      <xdr:row>20</xdr:row>
      <xdr:rowOff>122040</xdr:rowOff>
    </xdr:from>
    <xdr:to>
      <xdr:col>0</xdr:col>
      <xdr:colOff>6437160</xdr:colOff>
      <xdr:row>22</xdr:row>
      <xdr:rowOff>37440</xdr:rowOff>
    </xdr:to>
    <xdr:sp macro="" textlink="">
      <xdr:nvSpPr>
        <xdr:cNvPr id="33" name="TextBox 167">
          <a:extLst>
            <a:ext uri="{FF2B5EF4-FFF2-40B4-BE49-F238E27FC236}">
              <a16:creationId xmlns:a16="http://schemas.microsoft.com/office/drawing/2014/main" id="{00000000-0008-0000-0000-000021000000}"/>
            </a:ext>
          </a:extLst>
        </xdr:cNvPr>
        <xdr:cNvSpPr/>
      </xdr:nvSpPr>
      <xdr:spPr>
        <a:xfrm>
          <a:off x="5463720" y="3855960"/>
          <a:ext cx="973440" cy="277200"/>
        </a:xfrm>
        <a:prstGeom prst="rect">
          <a:avLst/>
        </a:prstGeom>
        <a:solidFill>
          <a:srgbClr val="FFFFFF"/>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rgbClr val="000000"/>
              </a:solidFill>
              <a:latin typeface="Calibri"/>
            </a:rPr>
            <a:t>Footwear</a:t>
          </a:r>
          <a:endParaRPr lang="en-GB" sz="1100" b="0" strike="noStrike" spc="-1">
            <a:latin typeface="Times New Roman"/>
          </a:endParaRPr>
        </a:p>
      </xdr:txBody>
    </xdr:sp>
    <xdr:clientData/>
  </xdr:twoCellAnchor>
  <xdr:twoCellAnchor editAs="absolute">
    <xdr:from>
      <xdr:col>0</xdr:col>
      <xdr:colOff>5463720</xdr:colOff>
      <xdr:row>23</xdr:row>
      <xdr:rowOff>23760</xdr:rowOff>
    </xdr:from>
    <xdr:to>
      <xdr:col>0</xdr:col>
      <xdr:colOff>6399360</xdr:colOff>
      <xdr:row>24</xdr:row>
      <xdr:rowOff>66960</xdr:rowOff>
    </xdr:to>
    <xdr:sp macro="" textlink="">
      <xdr:nvSpPr>
        <xdr:cNvPr id="34" name="TextBox 168">
          <a:extLst>
            <a:ext uri="{FF2B5EF4-FFF2-40B4-BE49-F238E27FC236}">
              <a16:creationId xmlns:a16="http://schemas.microsoft.com/office/drawing/2014/main" id="{00000000-0008-0000-0000-000022000000}"/>
            </a:ext>
          </a:extLst>
        </xdr:cNvPr>
        <xdr:cNvSpPr/>
      </xdr:nvSpPr>
      <xdr:spPr>
        <a:xfrm>
          <a:off x="5463720" y="4300560"/>
          <a:ext cx="935640" cy="224280"/>
        </a:xfrm>
        <a:prstGeom prst="rect">
          <a:avLst/>
        </a:prstGeom>
        <a:solidFill>
          <a:srgbClr val="FFFFFF"/>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rgbClr val="000000"/>
              </a:solidFill>
              <a:latin typeface="Calibri"/>
            </a:rPr>
            <a:t>Apparel</a:t>
          </a:r>
          <a:endParaRPr lang="en-GB" sz="1100" b="0" strike="noStrike" spc="-1">
            <a:latin typeface="Times New Roman"/>
          </a:endParaRPr>
        </a:p>
      </xdr:txBody>
    </xdr:sp>
    <xdr:clientData/>
  </xdr:twoCellAnchor>
  <xdr:twoCellAnchor editAs="absolute">
    <xdr:from>
      <xdr:col>0</xdr:col>
      <xdr:colOff>5463720</xdr:colOff>
      <xdr:row>25</xdr:row>
      <xdr:rowOff>54360</xdr:rowOff>
    </xdr:from>
    <xdr:to>
      <xdr:col>0</xdr:col>
      <xdr:colOff>6406920</xdr:colOff>
      <xdr:row>26</xdr:row>
      <xdr:rowOff>127800</xdr:rowOff>
    </xdr:to>
    <xdr:sp macro="" textlink="">
      <xdr:nvSpPr>
        <xdr:cNvPr id="35" name="TextBox 169">
          <a:extLst>
            <a:ext uri="{FF2B5EF4-FFF2-40B4-BE49-F238E27FC236}">
              <a16:creationId xmlns:a16="http://schemas.microsoft.com/office/drawing/2014/main" id="{00000000-0008-0000-0000-000023000000}"/>
            </a:ext>
          </a:extLst>
        </xdr:cNvPr>
        <xdr:cNvSpPr/>
      </xdr:nvSpPr>
      <xdr:spPr>
        <a:xfrm>
          <a:off x="5463720" y="4692960"/>
          <a:ext cx="943200" cy="254520"/>
        </a:xfrm>
        <a:prstGeom prst="rect">
          <a:avLst/>
        </a:prstGeom>
        <a:solidFill>
          <a:srgbClr val="FFFFFF"/>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rgbClr val="000000"/>
              </a:solidFill>
              <a:latin typeface="Calibri"/>
            </a:rPr>
            <a:t>Equipment</a:t>
          </a:r>
          <a:endParaRPr lang="en-GB" sz="1100" b="0" strike="noStrike" spc="-1">
            <a:latin typeface="Times New Roman"/>
          </a:endParaRPr>
        </a:p>
      </xdr:txBody>
    </xdr:sp>
    <xdr:clientData/>
  </xdr:twoCellAnchor>
  <xdr:twoCellAnchor editAs="absolute">
    <xdr:from>
      <xdr:col>0</xdr:col>
      <xdr:colOff>4511160</xdr:colOff>
      <xdr:row>21</xdr:row>
      <xdr:rowOff>46080</xdr:rowOff>
    </xdr:from>
    <xdr:to>
      <xdr:col>0</xdr:col>
      <xdr:colOff>5362920</xdr:colOff>
      <xdr:row>21</xdr:row>
      <xdr:rowOff>134640</xdr:rowOff>
    </xdr:to>
    <xdr:sp macro="" textlink="">
      <xdr:nvSpPr>
        <xdr:cNvPr id="36" name="Elbow Connector 170">
          <a:extLst>
            <a:ext uri="{FF2B5EF4-FFF2-40B4-BE49-F238E27FC236}">
              <a16:creationId xmlns:a16="http://schemas.microsoft.com/office/drawing/2014/main" id="{00000000-0008-0000-0000-000024000000}"/>
            </a:ext>
          </a:extLst>
        </xdr:cNvPr>
        <xdr:cNvSpPr/>
      </xdr:nvSpPr>
      <xdr:spPr>
        <a:xfrm flipV="1">
          <a:off x="4511160" y="3960720"/>
          <a:ext cx="851760" cy="88560"/>
        </a:xfrm>
        <a:prstGeom prst="bentConnector3">
          <a:avLst>
            <a:gd name="adj1" fmla="val 45536"/>
          </a:avLst>
        </a:prstGeom>
        <a:noFill/>
        <a:ln w="0">
          <a:solidFill>
            <a:srgbClr val="4472C4"/>
          </a:solidFill>
          <a:tailEnd type="triangle" w="med" len="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4495680</xdr:colOff>
      <xdr:row>21</xdr:row>
      <xdr:rowOff>137160</xdr:rowOff>
    </xdr:from>
    <xdr:to>
      <xdr:col>0</xdr:col>
      <xdr:colOff>5377680</xdr:colOff>
      <xdr:row>23</xdr:row>
      <xdr:rowOff>135000</xdr:rowOff>
    </xdr:to>
    <xdr:sp macro="" textlink="">
      <xdr:nvSpPr>
        <xdr:cNvPr id="37" name="Elbow Connector 171">
          <a:extLst>
            <a:ext uri="{FF2B5EF4-FFF2-40B4-BE49-F238E27FC236}">
              <a16:creationId xmlns:a16="http://schemas.microsoft.com/office/drawing/2014/main" id="{00000000-0008-0000-0000-000025000000}"/>
            </a:ext>
          </a:extLst>
        </xdr:cNvPr>
        <xdr:cNvSpPr/>
      </xdr:nvSpPr>
      <xdr:spPr>
        <a:xfrm>
          <a:off x="4495680" y="4051800"/>
          <a:ext cx="882000" cy="360000"/>
        </a:xfrm>
        <a:prstGeom prst="bentConnector3">
          <a:avLst>
            <a:gd name="adj1" fmla="val 45690"/>
          </a:avLst>
        </a:prstGeom>
        <a:noFill/>
        <a:ln w="0">
          <a:solidFill>
            <a:srgbClr val="4472C4"/>
          </a:solidFill>
          <a:tailEnd type="triangle" w="med" len="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4495680</xdr:colOff>
      <xdr:row>21</xdr:row>
      <xdr:rowOff>137160</xdr:rowOff>
    </xdr:from>
    <xdr:to>
      <xdr:col>0</xdr:col>
      <xdr:colOff>5446440</xdr:colOff>
      <xdr:row>26</xdr:row>
      <xdr:rowOff>29520</xdr:rowOff>
    </xdr:to>
    <xdr:sp macro="" textlink="">
      <xdr:nvSpPr>
        <xdr:cNvPr id="38" name="Elbow Connector 174">
          <a:extLst>
            <a:ext uri="{FF2B5EF4-FFF2-40B4-BE49-F238E27FC236}">
              <a16:creationId xmlns:a16="http://schemas.microsoft.com/office/drawing/2014/main" id="{00000000-0008-0000-0000-000026000000}"/>
            </a:ext>
          </a:extLst>
        </xdr:cNvPr>
        <xdr:cNvSpPr/>
      </xdr:nvSpPr>
      <xdr:spPr>
        <a:xfrm>
          <a:off x="4495680" y="4051800"/>
          <a:ext cx="950760" cy="797400"/>
        </a:xfrm>
        <a:prstGeom prst="bentConnector3">
          <a:avLst>
            <a:gd name="adj1" fmla="val 42800"/>
          </a:avLst>
        </a:prstGeom>
        <a:noFill/>
        <a:ln w="0">
          <a:solidFill>
            <a:srgbClr val="4472C4"/>
          </a:solidFill>
          <a:tailEnd type="triangle" w="med" len="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6263640</xdr:colOff>
      <xdr:row>27</xdr:row>
      <xdr:rowOff>167400</xdr:rowOff>
    </xdr:from>
    <xdr:to>
      <xdr:col>0</xdr:col>
      <xdr:colOff>7237080</xdr:colOff>
      <xdr:row>29</xdr:row>
      <xdr:rowOff>82800</xdr:rowOff>
    </xdr:to>
    <xdr:sp macro="" textlink="">
      <xdr:nvSpPr>
        <xdr:cNvPr id="39" name="TextBox 193">
          <a:extLst>
            <a:ext uri="{FF2B5EF4-FFF2-40B4-BE49-F238E27FC236}">
              <a16:creationId xmlns:a16="http://schemas.microsoft.com/office/drawing/2014/main" id="{00000000-0008-0000-0000-000027000000}"/>
            </a:ext>
          </a:extLst>
        </xdr:cNvPr>
        <xdr:cNvSpPr/>
      </xdr:nvSpPr>
      <xdr:spPr>
        <a:xfrm>
          <a:off x="6263640" y="5168160"/>
          <a:ext cx="973440" cy="277200"/>
        </a:xfrm>
        <a:prstGeom prst="rect">
          <a:avLst/>
        </a:prstGeom>
        <a:solidFill>
          <a:srgbClr val="FFFFFF"/>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rgbClr val="000000"/>
              </a:solidFill>
              <a:latin typeface="Calibri"/>
            </a:rPr>
            <a:t>Footwear</a:t>
          </a:r>
          <a:endParaRPr lang="en-GB" sz="1100" b="0" strike="noStrike" spc="-1">
            <a:latin typeface="Times New Roman"/>
          </a:endParaRPr>
        </a:p>
      </xdr:txBody>
    </xdr:sp>
    <xdr:clientData/>
  </xdr:twoCellAnchor>
  <xdr:twoCellAnchor editAs="absolute">
    <xdr:from>
      <xdr:col>0</xdr:col>
      <xdr:colOff>6263640</xdr:colOff>
      <xdr:row>30</xdr:row>
      <xdr:rowOff>69480</xdr:rowOff>
    </xdr:from>
    <xdr:to>
      <xdr:col>0</xdr:col>
      <xdr:colOff>7199280</xdr:colOff>
      <xdr:row>31</xdr:row>
      <xdr:rowOff>113400</xdr:rowOff>
    </xdr:to>
    <xdr:sp macro="" textlink="">
      <xdr:nvSpPr>
        <xdr:cNvPr id="40" name="TextBox 194">
          <a:extLst>
            <a:ext uri="{FF2B5EF4-FFF2-40B4-BE49-F238E27FC236}">
              <a16:creationId xmlns:a16="http://schemas.microsoft.com/office/drawing/2014/main" id="{00000000-0008-0000-0000-000028000000}"/>
            </a:ext>
          </a:extLst>
        </xdr:cNvPr>
        <xdr:cNvSpPr/>
      </xdr:nvSpPr>
      <xdr:spPr>
        <a:xfrm>
          <a:off x="6263640" y="5613120"/>
          <a:ext cx="935640" cy="224640"/>
        </a:xfrm>
        <a:prstGeom prst="rect">
          <a:avLst/>
        </a:prstGeom>
        <a:solidFill>
          <a:srgbClr val="FFFFFF"/>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rgbClr val="000000"/>
              </a:solidFill>
              <a:latin typeface="Calibri"/>
            </a:rPr>
            <a:t>Apparel</a:t>
          </a:r>
          <a:endParaRPr lang="en-GB" sz="1100" b="0" strike="noStrike" spc="-1">
            <a:latin typeface="Times New Roman"/>
          </a:endParaRPr>
        </a:p>
      </xdr:txBody>
    </xdr:sp>
    <xdr:clientData/>
  </xdr:twoCellAnchor>
  <xdr:twoCellAnchor editAs="absolute">
    <xdr:from>
      <xdr:col>0</xdr:col>
      <xdr:colOff>6263640</xdr:colOff>
      <xdr:row>32</xdr:row>
      <xdr:rowOff>99720</xdr:rowOff>
    </xdr:from>
    <xdr:to>
      <xdr:col>0</xdr:col>
      <xdr:colOff>7206840</xdr:colOff>
      <xdr:row>33</xdr:row>
      <xdr:rowOff>173160</xdr:rowOff>
    </xdr:to>
    <xdr:sp macro="" textlink="">
      <xdr:nvSpPr>
        <xdr:cNvPr id="41" name="TextBox 195">
          <a:extLst>
            <a:ext uri="{FF2B5EF4-FFF2-40B4-BE49-F238E27FC236}">
              <a16:creationId xmlns:a16="http://schemas.microsoft.com/office/drawing/2014/main" id="{00000000-0008-0000-0000-000029000000}"/>
            </a:ext>
          </a:extLst>
        </xdr:cNvPr>
        <xdr:cNvSpPr/>
      </xdr:nvSpPr>
      <xdr:spPr>
        <a:xfrm>
          <a:off x="6263640" y="6005160"/>
          <a:ext cx="943200" cy="254520"/>
        </a:xfrm>
        <a:prstGeom prst="rect">
          <a:avLst/>
        </a:prstGeom>
        <a:solidFill>
          <a:srgbClr val="FFFFFF"/>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rgbClr val="000000"/>
              </a:solidFill>
              <a:latin typeface="Calibri"/>
            </a:rPr>
            <a:t>Equipment</a:t>
          </a:r>
          <a:endParaRPr lang="en-GB" sz="1100" b="0" strike="noStrike" spc="-1">
            <a:latin typeface="Times New Roman"/>
          </a:endParaRPr>
        </a:p>
      </xdr:txBody>
    </xdr:sp>
    <xdr:clientData/>
  </xdr:twoCellAnchor>
  <xdr:twoCellAnchor editAs="absolute">
    <xdr:from>
      <xdr:col>0</xdr:col>
      <xdr:colOff>4511160</xdr:colOff>
      <xdr:row>26</xdr:row>
      <xdr:rowOff>129600</xdr:rowOff>
    </xdr:from>
    <xdr:to>
      <xdr:col>0</xdr:col>
      <xdr:colOff>6261840</xdr:colOff>
      <xdr:row>28</xdr:row>
      <xdr:rowOff>124200</xdr:rowOff>
    </xdr:to>
    <xdr:sp macro="" textlink="">
      <xdr:nvSpPr>
        <xdr:cNvPr id="42" name="Elbow Connector 196">
          <a:extLst>
            <a:ext uri="{FF2B5EF4-FFF2-40B4-BE49-F238E27FC236}">
              <a16:creationId xmlns:a16="http://schemas.microsoft.com/office/drawing/2014/main" id="{00000000-0008-0000-0000-00002A000000}"/>
            </a:ext>
          </a:extLst>
        </xdr:cNvPr>
        <xdr:cNvSpPr/>
      </xdr:nvSpPr>
      <xdr:spPr>
        <a:xfrm>
          <a:off x="4511160" y="4949280"/>
          <a:ext cx="1750680" cy="356400"/>
        </a:xfrm>
        <a:prstGeom prst="bentConnector3">
          <a:avLst>
            <a:gd name="adj1" fmla="val 50000"/>
          </a:avLst>
        </a:prstGeom>
        <a:noFill/>
        <a:ln w="0">
          <a:solidFill>
            <a:srgbClr val="4472C4"/>
          </a:solidFill>
          <a:tailEnd type="triangle" w="med" len="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4511160</xdr:colOff>
      <xdr:row>26</xdr:row>
      <xdr:rowOff>137160</xdr:rowOff>
    </xdr:from>
    <xdr:to>
      <xdr:col>0</xdr:col>
      <xdr:colOff>6261840</xdr:colOff>
      <xdr:row>30</xdr:row>
      <xdr:rowOff>180720</xdr:rowOff>
    </xdr:to>
    <xdr:sp macro="" textlink="">
      <xdr:nvSpPr>
        <xdr:cNvPr id="43" name="Elbow Connector 197">
          <a:extLst>
            <a:ext uri="{FF2B5EF4-FFF2-40B4-BE49-F238E27FC236}">
              <a16:creationId xmlns:a16="http://schemas.microsoft.com/office/drawing/2014/main" id="{00000000-0008-0000-0000-00002B000000}"/>
            </a:ext>
          </a:extLst>
        </xdr:cNvPr>
        <xdr:cNvSpPr/>
      </xdr:nvSpPr>
      <xdr:spPr>
        <a:xfrm>
          <a:off x="4511160" y="4956840"/>
          <a:ext cx="1750680" cy="767520"/>
        </a:xfrm>
        <a:prstGeom prst="bentConnector3">
          <a:avLst>
            <a:gd name="adj1" fmla="val 50000"/>
          </a:avLst>
        </a:prstGeom>
        <a:noFill/>
        <a:ln w="0">
          <a:solidFill>
            <a:srgbClr val="4472C4"/>
          </a:solidFill>
          <a:tailEnd type="triangle" w="med" len="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4533840</xdr:colOff>
      <xdr:row>26</xdr:row>
      <xdr:rowOff>144720</xdr:rowOff>
    </xdr:from>
    <xdr:to>
      <xdr:col>0</xdr:col>
      <xdr:colOff>6261840</xdr:colOff>
      <xdr:row>33</xdr:row>
      <xdr:rowOff>45360</xdr:rowOff>
    </xdr:to>
    <xdr:sp macro="" textlink="">
      <xdr:nvSpPr>
        <xdr:cNvPr id="44" name="Elbow Connector 192">
          <a:extLst>
            <a:ext uri="{FF2B5EF4-FFF2-40B4-BE49-F238E27FC236}">
              <a16:creationId xmlns:a16="http://schemas.microsoft.com/office/drawing/2014/main" id="{00000000-0008-0000-0000-00002C000000}"/>
            </a:ext>
          </a:extLst>
        </xdr:cNvPr>
        <xdr:cNvSpPr/>
      </xdr:nvSpPr>
      <xdr:spPr>
        <a:xfrm>
          <a:off x="4533840" y="4964400"/>
          <a:ext cx="1728000" cy="1167480"/>
        </a:xfrm>
        <a:prstGeom prst="bentConnector3">
          <a:avLst>
            <a:gd name="adj1" fmla="val 50000"/>
          </a:avLst>
        </a:prstGeom>
        <a:noFill/>
        <a:ln w="0">
          <a:solidFill>
            <a:srgbClr val="4472C4"/>
          </a:solidFill>
          <a:tailEnd type="triangle" w="med" len="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4217760</xdr:colOff>
      <xdr:row>35</xdr:row>
      <xdr:rowOff>132480</xdr:rowOff>
    </xdr:from>
    <xdr:to>
      <xdr:col>0</xdr:col>
      <xdr:colOff>4897800</xdr:colOff>
      <xdr:row>37</xdr:row>
      <xdr:rowOff>47880</xdr:rowOff>
    </xdr:to>
    <xdr:sp macro="" textlink="">
      <xdr:nvSpPr>
        <xdr:cNvPr id="45" name="TextBox 207">
          <a:extLst>
            <a:ext uri="{FF2B5EF4-FFF2-40B4-BE49-F238E27FC236}">
              <a16:creationId xmlns:a16="http://schemas.microsoft.com/office/drawing/2014/main" id="{00000000-0008-0000-0000-00002D000000}"/>
            </a:ext>
          </a:extLst>
        </xdr:cNvPr>
        <xdr:cNvSpPr/>
      </xdr:nvSpPr>
      <xdr:spPr>
        <a:xfrm>
          <a:off x="4217760" y="6580800"/>
          <a:ext cx="680040" cy="277560"/>
        </a:xfrm>
        <a:prstGeom prst="rect">
          <a:avLst/>
        </a:prstGeom>
        <a:solidFill>
          <a:srgbClr val="FFFFFF"/>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gn="ctr">
            <a:lnSpc>
              <a:spcPct val="100000"/>
            </a:lnSpc>
          </a:pPr>
          <a:r>
            <a:rPr lang="en-US" sz="1100" b="0" strike="noStrike" spc="-1">
              <a:solidFill>
                <a:srgbClr val="000000"/>
              </a:solidFill>
              <a:latin typeface="Calibri"/>
            </a:rPr>
            <a:t>Footwear</a:t>
          </a:r>
          <a:endParaRPr lang="en-GB" sz="1100" b="0" strike="noStrike" spc="-1">
            <a:latin typeface="Times New Roman"/>
          </a:endParaRPr>
        </a:p>
      </xdr:txBody>
    </xdr:sp>
    <xdr:clientData/>
  </xdr:twoCellAnchor>
  <xdr:twoCellAnchor editAs="absolute">
    <xdr:from>
      <xdr:col>0</xdr:col>
      <xdr:colOff>3440520</xdr:colOff>
      <xdr:row>35</xdr:row>
      <xdr:rowOff>155160</xdr:rowOff>
    </xdr:from>
    <xdr:to>
      <xdr:col>0</xdr:col>
      <xdr:colOff>4105440</xdr:colOff>
      <xdr:row>37</xdr:row>
      <xdr:rowOff>6120</xdr:rowOff>
    </xdr:to>
    <xdr:sp macro="" textlink="">
      <xdr:nvSpPr>
        <xdr:cNvPr id="46" name="TextBox 208">
          <a:extLst>
            <a:ext uri="{FF2B5EF4-FFF2-40B4-BE49-F238E27FC236}">
              <a16:creationId xmlns:a16="http://schemas.microsoft.com/office/drawing/2014/main" id="{00000000-0008-0000-0000-00002E000000}"/>
            </a:ext>
          </a:extLst>
        </xdr:cNvPr>
        <xdr:cNvSpPr/>
      </xdr:nvSpPr>
      <xdr:spPr>
        <a:xfrm>
          <a:off x="3440520" y="6603480"/>
          <a:ext cx="664920" cy="213120"/>
        </a:xfrm>
        <a:prstGeom prst="rect">
          <a:avLst/>
        </a:prstGeom>
        <a:solidFill>
          <a:srgbClr val="FFFFFF"/>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rgbClr val="000000"/>
              </a:solidFill>
              <a:latin typeface="Calibri"/>
            </a:rPr>
            <a:t>Apparel</a:t>
          </a:r>
          <a:endParaRPr lang="en-GB" sz="1100" b="0" strike="noStrike" spc="-1">
            <a:latin typeface="Times New Roman"/>
          </a:endParaRPr>
        </a:p>
      </xdr:txBody>
    </xdr:sp>
    <xdr:clientData/>
  </xdr:twoCellAnchor>
  <xdr:twoCellAnchor editAs="absolute">
    <xdr:from>
      <xdr:col>0</xdr:col>
      <xdr:colOff>2461320</xdr:colOff>
      <xdr:row>35</xdr:row>
      <xdr:rowOff>159120</xdr:rowOff>
    </xdr:from>
    <xdr:to>
      <xdr:col>0</xdr:col>
      <xdr:colOff>3236760</xdr:colOff>
      <xdr:row>37</xdr:row>
      <xdr:rowOff>51840</xdr:rowOff>
    </xdr:to>
    <xdr:sp macro="" textlink="">
      <xdr:nvSpPr>
        <xdr:cNvPr id="47" name="TextBox 209">
          <a:extLst>
            <a:ext uri="{FF2B5EF4-FFF2-40B4-BE49-F238E27FC236}">
              <a16:creationId xmlns:a16="http://schemas.microsoft.com/office/drawing/2014/main" id="{00000000-0008-0000-0000-00002F000000}"/>
            </a:ext>
          </a:extLst>
        </xdr:cNvPr>
        <xdr:cNvSpPr/>
      </xdr:nvSpPr>
      <xdr:spPr>
        <a:xfrm>
          <a:off x="2461320" y="6607440"/>
          <a:ext cx="775440" cy="254880"/>
        </a:xfrm>
        <a:prstGeom prst="rect">
          <a:avLst/>
        </a:prstGeom>
        <a:solidFill>
          <a:srgbClr val="FFFFFF"/>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gn="ctr">
            <a:lnSpc>
              <a:spcPct val="100000"/>
            </a:lnSpc>
          </a:pPr>
          <a:r>
            <a:rPr lang="en-US" sz="1100" b="0" strike="noStrike" spc="-1">
              <a:solidFill>
                <a:srgbClr val="000000"/>
              </a:solidFill>
              <a:latin typeface="Calibri"/>
            </a:rPr>
            <a:t>Equipment</a:t>
          </a:r>
          <a:endParaRPr lang="en-GB" sz="1100" b="0" strike="noStrike" spc="-1">
            <a:latin typeface="Times New Roman"/>
          </a:endParaRPr>
        </a:p>
      </xdr:txBody>
    </xdr:sp>
    <xdr:clientData/>
  </xdr:twoCellAnchor>
  <xdr:twoCellAnchor editAs="absolute">
    <xdr:from>
      <xdr:col>0</xdr:col>
      <xdr:colOff>4001040</xdr:colOff>
      <xdr:row>31</xdr:row>
      <xdr:rowOff>7560</xdr:rowOff>
    </xdr:from>
    <xdr:to>
      <xdr:col>0</xdr:col>
      <xdr:colOff>4403160</xdr:colOff>
      <xdr:row>35</xdr:row>
      <xdr:rowOff>119520</xdr:rowOff>
    </xdr:to>
    <xdr:sp macro="" textlink="">
      <xdr:nvSpPr>
        <xdr:cNvPr id="48" name="Elbow Connector 210">
          <a:extLst>
            <a:ext uri="{FF2B5EF4-FFF2-40B4-BE49-F238E27FC236}">
              <a16:creationId xmlns:a16="http://schemas.microsoft.com/office/drawing/2014/main" id="{00000000-0008-0000-0000-000030000000}"/>
            </a:ext>
          </a:extLst>
        </xdr:cNvPr>
        <xdr:cNvSpPr/>
      </xdr:nvSpPr>
      <xdr:spPr>
        <a:xfrm rot="16200000" flipH="1">
          <a:off x="3783600" y="5948640"/>
          <a:ext cx="835920" cy="402120"/>
        </a:xfrm>
        <a:prstGeom prst="bentConnector3">
          <a:avLst>
            <a:gd name="adj1" fmla="val 50000"/>
          </a:avLst>
        </a:prstGeom>
        <a:noFill/>
        <a:ln w="0">
          <a:solidFill>
            <a:srgbClr val="4472C4"/>
          </a:solidFill>
          <a:tailEnd type="triangle" w="med" len="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3819600</xdr:colOff>
      <xdr:row>31</xdr:row>
      <xdr:rowOff>15120</xdr:rowOff>
    </xdr:from>
    <xdr:to>
      <xdr:col>0</xdr:col>
      <xdr:colOff>4008240</xdr:colOff>
      <xdr:row>35</xdr:row>
      <xdr:rowOff>96840</xdr:rowOff>
    </xdr:to>
    <xdr:sp macro="" textlink="">
      <xdr:nvSpPr>
        <xdr:cNvPr id="49" name="Elbow Connector 211">
          <a:extLst>
            <a:ext uri="{FF2B5EF4-FFF2-40B4-BE49-F238E27FC236}">
              <a16:creationId xmlns:a16="http://schemas.microsoft.com/office/drawing/2014/main" id="{00000000-0008-0000-0000-000031000000}"/>
            </a:ext>
          </a:extLst>
        </xdr:cNvPr>
        <xdr:cNvSpPr/>
      </xdr:nvSpPr>
      <xdr:spPr>
        <a:xfrm rot="5400000">
          <a:off x="3511080" y="6048000"/>
          <a:ext cx="805680" cy="188640"/>
        </a:xfrm>
        <a:prstGeom prst="bentConnector3">
          <a:avLst>
            <a:gd name="adj1" fmla="val 50000"/>
          </a:avLst>
        </a:prstGeom>
        <a:noFill/>
        <a:ln w="0">
          <a:solidFill>
            <a:srgbClr val="4472C4"/>
          </a:solidFill>
          <a:tailEnd type="triangle" w="med" len="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3194640</xdr:colOff>
      <xdr:row>31</xdr:row>
      <xdr:rowOff>15120</xdr:rowOff>
    </xdr:from>
    <xdr:to>
      <xdr:col>0</xdr:col>
      <xdr:colOff>4008240</xdr:colOff>
      <xdr:row>35</xdr:row>
      <xdr:rowOff>104400</xdr:rowOff>
    </xdr:to>
    <xdr:sp macro="" textlink="">
      <xdr:nvSpPr>
        <xdr:cNvPr id="50" name="Elbow Connector 206">
          <a:extLst>
            <a:ext uri="{FF2B5EF4-FFF2-40B4-BE49-F238E27FC236}">
              <a16:creationId xmlns:a16="http://schemas.microsoft.com/office/drawing/2014/main" id="{00000000-0008-0000-0000-000032000000}"/>
            </a:ext>
          </a:extLst>
        </xdr:cNvPr>
        <xdr:cNvSpPr/>
      </xdr:nvSpPr>
      <xdr:spPr>
        <a:xfrm rot="5400000">
          <a:off x="3194640" y="5739120"/>
          <a:ext cx="813240" cy="813600"/>
        </a:xfrm>
        <a:prstGeom prst="bentConnector3">
          <a:avLst>
            <a:gd name="adj1" fmla="val 50000"/>
          </a:avLst>
        </a:prstGeom>
        <a:noFill/>
        <a:ln w="0">
          <a:solidFill>
            <a:srgbClr val="4472C4"/>
          </a:solidFill>
          <a:tailEnd type="triangle" w="med" len="med"/>
        </a:ln>
      </xdr:spPr>
      <xdr:style>
        <a:lnRef idx="1">
          <a:schemeClr val="accent1"/>
        </a:lnRef>
        <a:fillRef idx="0">
          <a:schemeClr val="accent1"/>
        </a:fillRef>
        <a:effectRef idx="0">
          <a:schemeClr val="accent1"/>
        </a:effectRef>
        <a:fontRef idx="minor"/>
      </xdr:style>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zoomScale="85" zoomScaleNormal="85" workbookViewId="0">
      <selection activeCell="A11" sqref="A11"/>
    </sheetView>
  </sheetViews>
  <sheetFormatPr defaultColWidth="8.77734375" defaultRowHeight="14.4" x14ac:dyDescent="0.3"/>
  <cols>
    <col min="1" max="1" width="176.109375" style="1" customWidth="1"/>
  </cols>
  <sheetData>
    <row r="1" spans="1:1" ht="23.4" x14ac:dyDescent="0.45">
      <c r="A1" s="2" t="s">
        <v>0</v>
      </c>
    </row>
    <row r="2" spans="1:1" x14ac:dyDescent="0.3">
      <c r="A2" s="3" t="s">
        <v>1</v>
      </c>
    </row>
    <row r="3" spans="1:1" x14ac:dyDescent="0.3">
      <c r="A3" s="4" t="s">
        <v>2</v>
      </c>
    </row>
    <row r="4" spans="1:1" x14ac:dyDescent="0.3">
      <c r="A4" s="3" t="s">
        <v>3</v>
      </c>
    </row>
    <row r="5" spans="1:1" x14ac:dyDescent="0.3">
      <c r="A5" s="1" t="s">
        <v>4</v>
      </c>
    </row>
    <row r="6" spans="1:1" x14ac:dyDescent="0.3">
      <c r="A6" s="3"/>
    </row>
    <row r="7" spans="1:1" x14ac:dyDescent="0.3">
      <c r="A7" s="3"/>
    </row>
    <row r="10" spans="1:1" x14ac:dyDescent="0.3">
      <c r="A10" s="4"/>
    </row>
    <row r="11" spans="1:1" x14ac:dyDescent="0.3">
      <c r="A11" s="4"/>
    </row>
    <row r="12" spans="1:1" x14ac:dyDescent="0.3">
      <c r="A12" s="4"/>
    </row>
  </sheetData>
  <pageMargins left="0.7" right="0.7" top="0.75" bottom="0.75" header="0.511811023622047" footer="0.511811023622047"/>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3"/>
  <sheetViews>
    <sheetView zoomScale="85" zoomScaleNormal="85" workbookViewId="0">
      <pane ySplit="1" topLeftCell="A127" activePane="bottomLeft" state="frozen"/>
      <selection pane="bottomLeft" activeCell="I146" sqref="I146"/>
    </sheetView>
  </sheetViews>
  <sheetFormatPr defaultColWidth="8.77734375" defaultRowHeight="14.4" x14ac:dyDescent="0.3"/>
  <cols>
    <col min="1" max="1" width="78.109375" customWidth="1"/>
    <col min="2" max="7" width="9" customWidth="1"/>
    <col min="8" max="8" width="10.44140625" customWidth="1"/>
    <col min="9" max="9" width="10.6640625" customWidth="1"/>
  </cols>
  <sheetData>
    <row r="1" spans="1:9" ht="60" customHeight="1" x14ac:dyDescent="0.3">
      <c r="A1" s="5" t="s">
        <v>5</v>
      </c>
      <c r="B1" s="6">
        <f t="shared" ref="B1:H1" si="0">+C1-1</f>
        <v>2015</v>
      </c>
      <c r="C1" s="6">
        <f t="shared" si="0"/>
        <v>2016</v>
      </c>
      <c r="D1" s="6">
        <f t="shared" si="0"/>
        <v>2017</v>
      </c>
      <c r="E1" s="6">
        <f t="shared" si="0"/>
        <v>2018</v>
      </c>
      <c r="F1" s="6">
        <f t="shared" si="0"/>
        <v>2019</v>
      </c>
      <c r="G1" s="6">
        <f t="shared" si="0"/>
        <v>2020</v>
      </c>
      <c r="H1" s="6">
        <f t="shared" si="0"/>
        <v>2021</v>
      </c>
      <c r="I1" s="6">
        <v>2022</v>
      </c>
    </row>
    <row r="2" spans="1:9" x14ac:dyDescent="0.3">
      <c r="A2" t="s">
        <v>6</v>
      </c>
      <c r="B2" s="7">
        <v>30601</v>
      </c>
      <c r="C2" s="7">
        <v>32376</v>
      </c>
      <c r="D2" s="7">
        <v>34350</v>
      </c>
      <c r="E2" s="7">
        <f>36397</f>
        <v>36397</v>
      </c>
      <c r="F2" s="7">
        <v>39117</v>
      </c>
      <c r="G2" s="7">
        <f>37403</f>
        <v>37403</v>
      </c>
      <c r="H2" s="7">
        <v>44538</v>
      </c>
      <c r="I2" s="7">
        <v>46710</v>
      </c>
    </row>
    <row r="3" spans="1:9" x14ac:dyDescent="0.3">
      <c r="A3" s="8" t="s">
        <v>7</v>
      </c>
      <c r="B3" s="9">
        <v>16534</v>
      </c>
      <c r="C3" s="9">
        <v>17405</v>
      </c>
      <c r="D3" s="9">
        <v>19038</v>
      </c>
      <c r="E3" s="9">
        <v>20441</v>
      </c>
      <c r="F3" s="9">
        <v>21643</v>
      </c>
      <c r="G3" s="9">
        <v>21162</v>
      </c>
      <c r="H3" s="9">
        <v>24576</v>
      </c>
      <c r="I3" s="9">
        <v>25231</v>
      </c>
    </row>
    <row r="4" spans="1:9" s="10" customFormat="1" x14ac:dyDescent="0.3">
      <c r="A4" s="10" t="s">
        <v>8</v>
      </c>
      <c r="B4" s="11">
        <f t="shared" ref="B4:I4" si="1">+B2-B3</f>
        <v>14067</v>
      </c>
      <c r="C4" s="11">
        <f t="shared" si="1"/>
        <v>14971</v>
      </c>
      <c r="D4" s="11">
        <f t="shared" si="1"/>
        <v>15312</v>
      </c>
      <c r="E4" s="11">
        <f t="shared" si="1"/>
        <v>15956</v>
      </c>
      <c r="F4" s="11">
        <f t="shared" si="1"/>
        <v>17474</v>
      </c>
      <c r="G4" s="11">
        <f t="shared" si="1"/>
        <v>16241</v>
      </c>
      <c r="H4" s="11">
        <f t="shared" si="1"/>
        <v>19962</v>
      </c>
      <c r="I4" s="11">
        <f t="shared" si="1"/>
        <v>21479</v>
      </c>
    </row>
    <row r="5" spans="1:9" x14ac:dyDescent="0.3">
      <c r="A5" s="12" t="s">
        <v>9</v>
      </c>
      <c r="B5" s="7">
        <v>3213</v>
      </c>
      <c r="C5" s="7">
        <v>3278</v>
      </c>
      <c r="D5" s="7">
        <v>3341</v>
      </c>
      <c r="E5" s="7">
        <v>3577</v>
      </c>
      <c r="F5" s="7">
        <v>3753</v>
      </c>
      <c r="G5" s="7">
        <v>3592</v>
      </c>
      <c r="H5" s="7">
        <v>3114</v>
      </c>
      <c r="I5" s="7">
        <v>3850</v>
      </c>
    </row>
    <row r="6" spans="1:9" x14ac:dyDescent="0.3">
      <c r="A6" s="12" t="s">
        <v>10</v>
      </c>
      <c r="B6" s="7">
        <v>6679</v>
      </c>
      <c r="C6" s="7">
        <v>7191</v>
      </c>
      <c r="D6" s="7">
        <v>7222</v>
      </c>
      <c r="E6" s="7">
        <v>7934</v>
      </c>
      <c r="F6" s="7">
        <v>8949</v>
      </c>
      <c r="G6" s="7">
        <v>9534</v>
      </c>
      <c r="H6" s="7">
        <v>9911</v>
      </c>
      <c r="I6" s="7">
        <v>10954</v>
      </c>
    </row>
    <row r="7" spans="1:9" x14ac:dyDescent="0.3">
      <c r="A7" s="13" t="s">
        <v>11</v>
      </c>
      <c r="B7" s="14">
        <f t="shared" ref="B7:I7" si="2">+B5+B6</f>
        <v>9892</v>
      </c>
      <c r="C7" s="14">
        <f t="shared" si="2"/>
        <v>10469</v>
      </c>
      <c r="D7" s="14">
        <f t="shared" si="2"/>
        <v>10563</v>
      </c>
      <c r="E7" s="14">
        <f t="shared" si="2"/>
        <v>11511</v>
      </c>
      <c r="F7" s="14">
        <f t="shared" si="2"/>
        <v>12702</v>
      </c>
      <c r="G7" s="14">
        <f t="shared" si="2"/>
        <v>13126</v>
      </c>
      <c r="H7" s="14">
        <f t="shared" si="2"/>
        <v>13025</v>
      </c>
      <c r="I7" s="14">
        <f t="shared" si="2"/>
        <v>14804</v>
      </c>
    </row>
    <row r="8" spans="1:9" x14ac:dyDescent="0.3">
      <c r="A8" s="15" t="s">
        <v>12</v>
      </c>
      <c r="B8" s="7">
        <v>28</v>
      </c>
      <c r="C8" s="7">
        <v>19</v>
      </c>
      <c r="D8" s="7">
        <v>59</v>
      </c>
      <c r="E8" s="7">
        <v>54</v>
      </c>
      <c r="F8" s="7">
        <v>49</v>
      </c>
      <c r="G8" s="7">
        <v>89</v>
      </c>
      <c r="H8" s="7">
        <v>262</v>
      </c>
      <c r="I8" s="7">
        <v>205</v>
      </c>
    </row>
    <row r="9" spans="1:9" x14ac:dyDescent="0.3">
      <c r="A9" s="15" t="s">
        <v>13</v>
      </c>
      <c r="B9" s="7">
        <v>-58</v>
      </c>
      <c r="C9" s="7">
        <v>-140</v>
      </c>
      <c r="D9" s="7">
        <v>-196</v>
      </c>
      <c r="E9" s="7">
        <v>66</v>
      </c>
      <c r="F9" s="7">
        <v>-78</v>
      </c>
      <c r="G9" s="7">
        <v>139</v>
      </c>
      <c r="H9" s="7">
        <v>14</v>
      </c>
      <c r="I9" s="7">
        <v>-181</v>
      </c>
    </row>
    <row r="10" spans="1:9" x14ac:dyDescent="0.3">
      <c r="A10" s="16" t="s">
        <v>14</v>
      </c>
      <c r="B10" s="17">
        <f t="shared" ref="B10:I10" si="3">+B4-B7-B8-B9</f>
        <v>4205</v>
      </c>
      <c r="C10" s="17">
        <f t="shared" si="3"/>
        <v>4623</v>
      </c>
      <c r="D10" s="17">
        <f t="shared" si="3"/>
        <v>4886</v>
      </c>
      <c r="E10" s="17">
        <f t="shared" si="3"/>
        <v>4325</v>
      </c>
      <c r="F10" s="17">
        <f t="shared" si="3"/>
        <v>4801</v>
      </c>
      <c r="G10" s="17">
        <f t="shared" si="3"/>
        <v>2887</v>
      </c>
      <c r="H10" s="17">
        <f t="shared" si="3"/>
        <v>6661</v>
      </c>
      <c r="I10" s="17">
        <f t="shared" si="3"/>
        <v>6651</v>
      </c>
    </row>
    <row r="11" spans="1:9" x14ac:dyDescent="0.3">
      <c r="A11" s="15" t="s">
        <v>15</v>
      </c>
      <c r="B11" s="7">
        <v>932</v>
      </c>
      <c r="C11" s="7">
        <v>863</v>
      </c>
      <c r="D11" s="7">
        <v>646</v>
      </c>
      <c r="E11" s="7">
        <v>2392</v>
      </c>
      <c r="F11" s="7">
        <v>772</v>
      </c>
      <c r="G11" s="7">
        <v>348</v>
      </c>
      <c r="H11" s="7">
        <v>934</v>
      </c>
      <c r="I11" s="7">
        <v>605</v>
      </c>
    </row>
    <row r="12" spans="1:9" x14ac:dyDescent="0.3">
      <c r="A12" s="18" t="s">
        <v>16</v>
      </c>
      <c r="B12" s="19">
        <f t="shared" ref="B12:I12" si="4">+B10-B11</f>
        <v>3273</v>
      </c>
      <c r="C12" s="19">
        <f t="shared" si="4"/>
        <v>3760</v>
      </c>
      <c r="D12" s="19">
        <f t="shared" si="4"/>
        <v>4240</v>
      </c>
      <c r="E12" s="19">
        <f t="shared" si="4"/>
        <v>1933</v>
      </c>
      <c r="F12" s="19">
        <f t="shared" si="4"/>
        <v>4029</v>
      </c>
      <c r="G12" s="19">
        <f t="shared" si="4"/>
        <v>2539</v>
      </c>
      <c r="H12" s="19">
        <f t="shared" si="4"/>
        <v>5727</v>
      </c>
      <c r="I12" s="19">
        <f t="shared" si="4"/>
        <v>6046</v>
      </c>
    </row>
    <row r="13" spans="1:9" x14ac:dyDescent="0.3">
      <c r="A13" s="10" t="s">
        <v>17</v>
      </c>
    </row>
    <row r="14" spans="1:9" x14ac:dyDescent="0.3">
      <c r="A14" s="15" t="s">
        <v>18</v>
      </c>
      <c r="B14">
        <v>1.9</v>
      </c>
      <c r="C14">
        <v>2.21</v>
      </c>
      <c r="D14">
        <v>2.56</v>
      </c>
      <c r="E14">
        <v>1.19</v>
      </c>
      <c r="F14">
        <v>2.5499999999999998</v>
      </c>
      <c r="G14">
        <v>1.63</v>
      </c>
      <c r="H14">
        <v>3.64</v>
      </c>
      <c r="I14">
        <v>3.83</v>
      </c>
    </row>
    <row r="15" spans="1:9" x14ac:dyDescent="0.3">
      <c r="A15" s="15" t="s">
        <v>19</v>
      </c>
      <c r="B15">
        <v>1.85</v>
      </c>
      <c r="C15">
        <v>2.16</v>
      </c>
      <c r="D15">
        <v>2.5099999999999998</v>
      </c>
      <c r="E15">
        <v>1.17</v>
      </c>
      <c r="F15">
        <v>2.4900000000000002</v>
      </c>
      <c r="G15">
        <v>1.6</v>
      </c>
      <c r="H15">
        <v>3.56</v>
      </c>
      <c r="I15">
        <v>3.75</v>
      </c>
    </row>
    <row r="16" spans="1:9" x14ac:dyDescent="0.3">
      <c r="A16" s="10" t="s">
        <v>20</v>
      </c>
    </row>
    <row r="17" spans="1:9" x14ac:dyDescent="0.3">
      <c r="A17" s="15" t="s">
        <v>18</v>
      </c>
      <c r="B17">
        <v>1723.5</v>
      </c>
      <c r="C17">
        <v>1697.9</v>
      </c>
      <c r="D17">
        <v>1657.8</v>
      </c>
      <c r="E17">
        <v>1623.8</v>
      </c>
      <c r="F17">
        <v>1579.7</v>
      </c>
      <c r="G17" s="20">
        <v>1558.8</v>
      </c>
      <c r="H17" s="20">
        <v>1573</v>
      </c>
      <c r="I17" s="20">
        <v>1578.8</v>
      </c>
    </row>
    <row r="18" spans="1:9" x14ac:dyDescent="0.3">
      <c r="A18" s="15" t="s">
        <v>19</v>
      </c>
      <c r="B18">
        <v>1768.8</v>
      </c>
      <c r="C18">
        <v>1742.5</v>
      </c>
      <c r="D18">
        <v>1692</v>
      </c>
      <c r="E18">
        <v>1659.1</v>
      </c>
      <c r="F18">
        <v>1618.4</v>
      </c>
      <c r="G18" s="20">
        <v>1591.6</v>
      </c>
      <c r="H18" s="20">
        <v>1609.4</v>
      </c>
      <c r="I18" s="20">
        <v>1610.8</v>
      </c>
    </row>
    <row r="20" spans="1:9" s="21" customFormat="1" x14ac:dyDescent="0.3">
      <c r="A20" s="21" t="s">
        <v>21</v>
      </c>
      <c r="B20" s="22">
        <f t="shared" ref="B20:I20" si="5">+ROUND(((B12/B18)-B15),2)</f>
        <v>0</v>
      </c>
      <c r="C20" s="22">
        <f t="shared" si="5"/>
        <v>0</v>
      </c>
      <c r="D20" s="22">
        <f t="shared" si="5"/>
        <v>0</v>
      </c>
      <c r="E20" s="22">
        <f t="shared" si="5"/>
        <v>0</v>
      </c>
      <c r="F20" s="22">
        <f t="shared" si="5"/>
        <v>0</v>
      </c>
      <c r="G20" s="22">
        <f t="shared" si="5"/>
        <v>0</v>
      </c>
      <c r="H20" s="22">
        <f t="shared" si="5"/>
        <v>0</v>
      </c>
      <c r="I20" s="22">
        <f t="shared" si="5"/>
        <v>0</v>
      </c>
    </row>
    <row r="22" spans="1:9" x14ac:dyDescent="0.3">
      <c r="A22" s="23" t="s">
        <v>22</v>
      </c>
      <c r="B22" s="23"/>
      <c r="C22" s="23"/>
      <c r="D22" s="23"/>
      <c r="E22" s="23"/>
      <c r="F22" s="23"/>
      <c r="G22" s="23"/>
      <c r="H22" s="23"/>
      <c r="I22" s="23"/>
    </row>
    <row r="23" spans="1:9" x14ac:dyDescent="0.3">
      <c r="A23" s="10" t="s">
        <v>23</v>
      </c>
    </row>
    <row r="24" spans="1:9" x14ac:dyDescent="0.3">
      <c r="A24" s="24" t="s">
        <v>24</v>
      </c>
      <c r="B24" s="7"/>
      <c r="C24" s="7"/>
      <c r="D24" s="7"/>
      <c r="E24" s="7"/>
      <c r="F24" s="7"/>
      <c r="G24" s="7"/>
      <c r="H24" s="7"/>
      <c r="I24" s="7"/>
    </row>
    <row r="25" spans="1:9" x14ac:dyDescent="0.3">
      <c r="A25" s="12" t="s">
        <v>25</v>
      </c>
      <c r="B25" s="7">
        <v>3852</v>
      </c>
      <c r="C25" s="7">
        <v>3138</v>
      </c>
      <c r="D25" s="7">
        <v>3808</v>
      </c>
      <c r="E25" s="7">
        <v>4249</v>
      </c>
      <c r="F25" s="7">
        <v>4466</v>
      </c>
      <c r="G25" s="7">
        <v>8348</v>
      </c>
      <c r="H25" s="7">
        <v>9889</v>
      </c>
      <c r="I25" s="7">
        <v>8574</v>
      </c>
    </row>
    <row r="26" spans="1:9" x14ac:dyDescent="0.3">
      <c r="A26" s="12" t="s">
        <v>26</v>
      </c>
      <c r="B26" s="7">
        <v>2072</v>
      </c>
      <c r="C26" s="7">
        <v>2319</v>
      </c>
      <c r="D26" s="7">
        <v>2371</v>
      </c>
      <c r="E26" s="7">
        <v>996</v>
      </c>
      <c r="F26" s="7">
        <v>197</v>
      </c>
      <c r="G26" s="7">
        <v>439</v>
      </c>
      <c r="H26" s="7">
        <v>3587</v>
      </c>
      <c r="I26" s="7">
        <v>4423</v>
      </c>
    </row>
    <row r="27" spans="1:9" x14ac:dyDescent="0.3">
      <c r="A27" s="12" t="s">
        <v>27</v>
      </c>
      <c r="B27" s="7">
        <v>3358</v>
      </c>
      <c r="C27" s="7">
        <v>3241</v>
      </c>
      <c r="D27" s="7">
        <v>3677</v>
      </c>
      <c r="E27" s="7">
        <v>3498</v>
      </c>
      <c r="F27" s="7">
        <v>4272</v>
      </c>
      <c r="G27" s="7">
        <v>2749</v>
      </c>
      <c r="H27" s="7">
        <v>4463</v>
      </c>
      <c r="I27" s="7">
        <v>4667</v>
      </c>
    </row>
    <row r="28" spans="1:9" x14ac:dyDescent="0.3">
      <c r="A28" s="12" t="s">
        <v>28</v>
      </c>
      <c r="B28" s="7">
        <v>4337</v>
      </c>
      <c r="C28" s="7">
        <v>4838</v>
      </c>
      <c r="D28" s="7">
        <v>5055</v>
      </c>
      <c r="E28" s="7">
        <v>5261</v>
      </c>
      <c r="F28" s="7">
        <v>5622</v>
      </c>
      <c r="G28" s="7">
        <v>7367</v>
      </c>
      <c r="H28" s="7">
        <v>6854</v>
      </c>
      <c r="I28" s="7">
        <v>8420</v>
      </c>
    </row>
    <row r="29" spans="1:9" x14ac:dyDescent="0.3">
      <c r="A29" s="12" t="s">
        <v>29</v>
      </c>
      <c r="B29" s="7">
        <v>1968</v>
      </c>
      <c r="C29" s="7">
        <v>1489</v>
      </c>
      <c r="D29" s="7">
        <v>1150</v>
      </c>
      <c r="E29" s="7">
        <v>1130</v>
      </c>
      <c r="F29" s="7">
        <v>1968</v>
      </c>
      <c r="G29" s="7">
        <v>1653</v>
      </c>
      <c r="H29" s="7">
        <v>1498</v>
      </c>
      <c r="I29" s="7">
        <v>2129</v>
      </c>
    </row>
    <row r="30" spans="1:9" x14ac:dyDescent="0.3">
      <c r="A30" s="16" t="s">
        <v>30</v>
      </c>
      <c r="B30" s="17">
        <f t="shared" ref="B30:I30" si="6">+SUM(B25:B29)</f>
        <v>15587</v>
      </c>
      <c r="C30" s="17">
        <f t="shared" si="6"/>
        <v>15025</v>
      </c>
      <c r="D30" s="17">
        <f t="shared" si="6"/>
        <v>16061</v>
      </c>
      <c r="E30" s="17">
        <f t="shared" si="6"/>
        <v>15134</v>
      </c>
      <c r="F30" s="17">
        <f t="shared" si="6"/>
        <v>16525</v>
      </c>
      <c r="G30" s="17">
        <f t="shared" si="6"/>
        <v>20556</v>
      </c>
      <c r="H30" s="17">
        <f t="shared" si="6"/>
        <v>26291</v>
      </c>
      <c r="I30" s="17">
        <f t="shared" si="6"/>
        <v>28213</v>
      </c>
    </row>
    <row r="31" spans="1:9" x14ac:dyDescent="0.3">
      <c r="A31" s="15" t="s">
        <v>31</v>
      </c>
      <c r="B31" s="7">
        <v>3011</v>
      </c>
      <c r="C31" s="7">
        <v>3520</v>
      </c>
      <c r="D31" s="7">
        <v>3989</v>
      </c>
      <c r="E31" s="7">
        <v>4454</v>
      </c>
      <c r="F31" s="7">
        <v>4744</v>
      </c>
      <c r="G31" s="7">
        <v>4866</v>
      </c>
      <c r="H31" s="7">
        <v>4904</v>
      </c>
      <c r="I31" s="7">
        <v>4791</v>
      </c>
    </row>
    <row r="32" spans="1:9" x14ac:dyDescent="0.3">
      <c r="A32" s="15" t="s">
        <v>32</v>
      </c>
      <c r="B32" s="7">
        <v>3</v>
      </c>
      <c r="C32" s="7">
        <v>0</v>
      </c>
      <c r="D32" s="7">
        <v>0</v>
      </c>
      <c r="E32" s="7">
        <v>0</v>
      </c>
      <c r="F32" s="7">
        <v>0</v>
      </c>
      <c r="G32" s="7">
        <v>3097</v>
      </c>
      <c r="H32" s="7">
        <v>3113</v>
      </c>
      <c r="I32" s="7">
        <v>2926</v>
      </c>
    </row>
    <row r="33" spans="1:9" x14ac:dyDescent="0.3">
      <c r="A33" s="15" t="s">
        <v>33</v>
      </c>
      <c r="B33" s="7">
        <v>281</v>
      </c>
      <c r="C33" s="7">
        <v>281</v>
      </c>
      <c r="D33" s="7">
        <v>283</v>
      </c>
      <c r="E33" s="7">
        <v>285</v>
      </c>
      <c r="F33" s="7">
        <v>283</v>
      </c>
      <c r="G33" s="7">
        <v>274</v>
      </c>
      <c r="H33" s="7">
        <v>269</v>
      </c>
      <c r="I33" s="7">
        <v>286</v>
      </c>
    </row>
    <row r="34" spans="1:9" x14ac:dyDescent="0.3">
      <c r="A34" s="15" t="s">
        <v>34</v>
      </c>
      <c r="B34" s="7">
        <v>131</v>
      </c>
      <c r="C34" s="7">
        <v>131</v>
      </c>
      <c r="D34" s="7">
        <v>139</v>
      </c>
      <c r="E34" s="7">
        <v>154</v>
      </c>
      <c r="F34" s="7">
        <v>154</v>
      </c>
      <c r="G34" s="7">
        <v>223</v>
      </c>
      <c r="H34" s="7">
        <v>242</v>
      </c>
      <c r="I34" s="7">
        <v>284</v>
      </c>
    </row>
    <row r="35" spans="1:9" x14ac:dyDescent="0.3">
      <c r="A35" s="15" t="s">
        <v>35</v>
      </c>
      <c r="B35" s="7">
        <v>2587</v>
      </c>
      <c r="C35" s="7">
        <v>2439</v>
      </c>
      <c r="D35" s="7">
        <v>2787</v>
      </c>
      <c r="E35" s="7">
        <v>2509</v>
      </c>
      <c r="F35" s="7">
        <v>2011</v>
      </c>
      <c r="G35" s="7">
        <v>2326</v>
      </c>
      <c r="H35" s="7">
        <v>2921</v>
      </c>
      <c r="I35" s="7">
        <v>3821</v>
      </c>
    </row>
    <row r="36" spans="1:9" x14ac:dyDescent="0.3">
      <c r="A36" s="18" t="s">
        <v>36</v>
      </c>
      <c r="B36" s="19">
        <f t="shared" ref="B36:I36" si="7">+SUM(B30:B35)</f>
        <v>21600</v>
      </c>
      <c r="C36" s="19">
        <f t="shared" si="7"/>
        <v>21396</v>
      </c>
      <c r="D36" s="19">
        <f t="shared" si="7"/>
        <v>23259</v>
      </c>
      <c r="E36" s="19">
        <f t="shared" si="7"/>
        <v>22536</v>
      </c>
      <c r="F36" s="19">
        <f t="shared" si="7"/>
        <v>23717</v>
      </c>
      <c r="G36" s="19">
        <f t="shared" si="7"/>
        <v>31342</v>
      </c>
      <c r="H36" s="19">
        <f t="shared" si="7"/>
        <v>37740</v>
      </c>
      <c r="I36" s="19">
        <f t="shared" si="7"/>
        <v>40321</v>
      </c>
    </row>
    <row r="37" spans="1:9" x14ac:dyDescent="0.3">
      <c r="A37" s="10" t="s">
        <v>37</v>
      </c>
      <c r="B37" s="7"/>
      <c r="C37" s="7"/>
      <c r="D37" s="7"/>
      <c r="E37" s="7"/>
      <c r="F37" s="7"/>
      <c r="G37" s="7"/>
      <c r="H37" s="7"/>
      <c r="I37" s="7"/>
    </row>
    <row r="38" spans="1:9" x14ac:dyDescent="0.3">
      <c r="A38" s="15" t="s">
        <v>38</v>
      </c>
      <c r="B38" s="7"/>
      <c r="C38" s="7"/>
      <c r="D38" s="7"/>
      <c r="E38" s="7"/>
      <c r="F38" s="7"/>
      <c r="G38" s="7"/>
      <c r="H38" s="7"/>
      <c r="I38" s="7"/>
    </row>
    <row r="39" spans="1:9" x14ac:dyDescent="0.3">
      <c r="A39" s="12" t="s">
        <v>39</v>
      </c>
      <c r="B39" s="7">
        <v>107</v>
      </c>
      <c r="C39" s="7">
        <v>44</v>
      </c>
      <c r="D39" s="7">
        <v>6</v>
      </c>
      <c r="E39" s="7">
        <v>6</v>
      </c>
      <c r="F39" s="7">
        <v>6</v>
      </c>
      <c r="G39" s="7">
        <v>3</v>
      </c>
      <c r="H39" s="7">
        <v>0</v>
      </c>
      <c r="I39" s="7">
        <v>500</v>
      </c>
    </row>
    <row r="40" spans="1:9" x14ac:dyDescent="0.3">
      <c r="A40" s="12" t="s">
        <v>40</v>
      </c>
      <c r="B40" s="7">
        <v>74</v>
      </c>
      <c r="C40" s="7">
        <v>1</v>
      </c>
      <c r="D40" s="7">
        <v>325</v>
      </c>
      <c r="E40" s="7">
        <v>336</v>
      </c>
      <c r="F40" s="7">
        <v>9</v>
      </c>
      <c r="G40" s="7">
        <v>248</v>
      </c>
      <c r="H40" s="7">
        <v>2</v>
      </c>
      <c r="I40" s="7">
        <v>10</v>
      </c>
    </row>
    <row r="41" spans="1:9" x14ac:dyDescent="0.3">
      <c r="A41" s="12" t="s">
        <v>41</v>
      </c>
      <c r="B41" s="7">
        <v>2131</v>
      </c>
      <c r="C41" s="7">
        <v>2191</v>
      </c>
      <c r="D41" s="7">
        <v>2048</v>
      </c>
      <c r="E41" s="7">
        <v>2279</v>
      </c>
      <c r="F41" s="7">
        <v>2612</v>
      </c>
      <c r="G41" s="7">
        <v>2248</v>
      </c>
      <c r="H41" s="7">
        <v>2836</v>
      </c>
      <c r="I41" s="7">
        <v>3358</v>
      </c>
    </row>
    <row r="42" spans="1:9" x14ac:dyDescent="0.3">
      <c r="A42" s="12" t="s">
        <v>42</v>
      </c>
      <c r="B42" s="7">
        <v>0</v>
      </c>
      <c r="C42" s="7">
        <v>0</v>
      </c>
      <c r="D42" s="7">
        <v>0</v>
      </c>
      <c r="E42" s="7">
        <v>0</v>
      </c>
      <c r="F42" s="7">
        <v>0</v>
      </c>
      <c r="G42" s="7">
        <v>445</v>
      </c>
      <c r="H42" s="7">
        <v>467</v>
      </c>
      <c r="I42" s="7">
        <v>420</v>
      </c>
    </row>
    <row r="43" spans="1:9" x14ac:dyDescent="0.3">
      <c r="A43" s="12" t="s">
        <v>43</v>
      </c>
      <c r="B43" s="7">
        <v>3949</v>
      </c>
      <c r="C43" s="7">
        <v>3037</v>
      </c>
      <c r="D43" s="7">
        <v>3011</v>
      </c>
      <c r="E43" s="7">
        <v>3269</v>
      </c>
      <c r="F43" s="7">
        <v>5010</v>
      </c>
      <c r="G43" s="7">
        <v>5184</v>
      </c>
      <c r="H43" s="7">
        <v>6063</v>
      </c>
      <c r="I43" s="7">
        <v>6220</v>
      </c>
    </row>
    <row r="44" spans="1:9" x14ac:dyDescent="0.3">
      <c r="A44" s="12" t="s">
        <v>44</v>
      </c>
      <c r="B44" s="7">
        <v>71</v>
      </c>
      <c r="C44" s="7">
        <v>85</v>
      </c>
      <c r="D44" s="7">
        <v>84</v>
      </c>
      <c r="E44" s="7">
        <v>150</v>
      </c>
      <c r="F44" s="7">
        <v>229</v>
      </c>
      <c r="G44" s="7">
        <v>156</v>
      </c>
      <c r="H44" s="7">
        <v>306</v>
      </c>
      <c r="I44" s="7">
        <v>222</v>
      </c>
    </row>
    <row r="45" spans="1:9" x14ac:dyDescent="0.3">
      <c r="A45" s="16" t="s">
        <v>45</v>
      </c>
      <c r="B45" s="17">
        <f t="shared" ref="B45:I45" si="8">+SUM(B39:B44)</f>
        <v>6332</v>
      </c>
      <c r="C45" s="17">
        <f t="shared" si="8"/>
        <v>5358</v>
      </c>
      <c r="D45" s="17">
        <f t="shared" si="8"/>
        <v>5474</v>
      </c>
      <c r="E45" s="17">
        <f t="shared" si="8"/>
        <v>6040</v>
      </c>
      <c r="F45" s="17">
        <f t="shared" si="8"/>
        <v>7866</v>
      </c>
      <c r="G45" s="17">
        <f t="shared" si="8"/>
        <v>8284</v>
      </c>
      <c r="H45" s="17">
        <f t="shared" si="8"/>
        <v>9674</v>
      </c>
      <c r="I45" s="17">
        <f t="shared" si="8"/>
        <v>10730</v>
      </c>
    </row>
    <row r="46" spans="1:9" x14ac:dyDescent="0.3">
      <c r="A46" s="15" t="s">
        <v>46</v>
      </c>
      <c r="B46" s="7">
        <v>1079</v>
      </c>
      <c r="C46" s="7">
        <v>2010</v>
      </c>
      <c r="D46" s="7">
        <v>3471</v>
      </c>
      <c r="E46" s="7">
        <v>3468</v>
      </c>
      <c r="F46" s="7">
        <v>3464</v>
      </c>
      <c r="G46" s="7">
        <v>9406</v>
      </c>
      <c r="H46" s="7">
        <v>9413</v>
      </c>
      <c r="I46" s="7">
        <v>8920</v>
      </c>
    </row>
    <row r="47" spans="1:9" x14ac:dyDescent="0.3">
      <c r="A47" s="15" t="s">
        <v>47</v>
      </c>
      <c r="B47" s="7">
        <v>3</v>
      </c>
      <c r="C47" s="7">
        <v>0</v>
      </c>
      <c r="D47" s="7">
        <v>0</v>
      </c>
      <c r="E47" s="7">
        <v>0</v>
      </c>
      <c r="F47" s="7">
        <v>0</v>
      </c>
      <c r="G47" s="7">
        <v>2913</v>
      </c>
      <c r="H47" s="7">
        <v>2931</v>
      </c>
      <c r="I47" s="7">
        <v>2777</v>
      </c>
    </row>
    <row r="48" spans="1:9" x14ac:dyDescent="0.3">
      <c r="A48" s="15" t="s">
        <v>48</v>
      </c>
      <c r="B48" s="7">
        <v>1479</v>
      </c>
      <c r="C48" s="7">
        <v>1770</v>
      </c>
      <c r="D48" s="7">
        <v>1907</v>
      </c>
      <c r="E48" s="7">
        <v>3216</v>
      </c>
      <c r="F48" s="7">
        <v>3347</v>
      </c>
      <c r="G48" s="7">
        <v>2684</v>
      </c>
      <c r="H48" s="7">
        <v>2955</v>
      </c>
      <c r="I48" s="7">
        <v>2613</v>
      </c>
    </row>
    <row r="49" spans="1:9" x14ac:dyDescent="0.3">
      <c r="A49" s="15" t="s">
        <v>49</v>
      </c>
      <c r="B49" s="7"/>
      <c r="C49" s="7"/>
      <c r="D49" s="7"/>
      <c r="E49" s="7"/>
      <c r="F49" s="7"/>
      <c r="G49" s="7"/>
      <c r="H49" s="7"/>
      <c r="I49" s="7"/>
    </row>
    <row r="50" spans="1:9" x14ac:dyDescent="0.3">
      <c r="A50" s="12" t="s">
        <v>50</v>
      </c>
      <c r="B50" s="7">
        <v>0</v>
      </c>
      <c r="C50" s="7">
        <v>0</v>
      </c>
      <c r="D50" s="7">
        <v>0</v>
      </c>
      <c r="E50" s="7">
        <v>0</v>
      </c>
      <c r="F50" s="7">
        <v>0</v>
      </c>
      <c r="G50" s="7">
        <v>0</v>
      </c>
      <c r="H50" s="7">
        <v>0</v>
      </c>
      <c r="I50" s="7">
        <v>0</v>
      </c>
    </row>
    <row r="51" spans="1:9" x14ac:dyDescent="0.3">
      <c r="A51" s="15" t="s">
        <v>51</v>
      </c>
      <c r="B51" s="7"/>
      <c r="C51" s="7"/>
      <c r="D51" s="7"/>
      <c r="E51" s="7"/>
      <c r="F51" s="7"/>
      <c r="G51" s="7"/>
      <c r="H51" s="7"/>
      <c r="I51" s="7"/>
    </row>
    <row r="52" spans="1:9" x14ac:dyDescent="0.3">
      <c r="A52" s="12" t="s">
        <v>52</v>
      </c>
      <c r="B52" s="7"/>
      <c r="C52" s="7"/>
      <c r="D52" s="7"/>
      <c r="E52" s="7"/>
      <c r="F52" s="7"/>
      <c r="G52" s="7"/>
      <c r="H52" s="7"/>
      <c r="I52" s="7"/>
    </row>
    <row r="53" spans="1:9" x14ac:dyDescent="0.3">
      <c r="A53" s="25" t="s">
        <v>53</v>
      </c>
      <c r="B53" s="7"/>
      <c r="C53" s="7"/>
      <c r="D53" s="7"/>
      <c r="E53" s="7"/>
      <c r="F53" s="7"/>
      <c r="G53" s="7"/>
      <c r="H53" s="7"/>
      <c r="I53" s="7"/>
    </row>
    <row r="54" spans="1:9" x14ac:dyDescent="0.3">
      <c r="A54" s="25" t="s">
        <v>54</v>
      </c>
      <c r="B54" s="7">
        <v>3</v>
      </c>
      <c r="C54" s="7">
        <v>3</v>
      </c>
      <c r="D54" s="7">
        <v>3</v>
      </c>
      <c r="E54" s="7">
        <v>3</v>
      </c>
      <c r="F54" s="7">
        <v>3</v>
      </c>
      <c r="G54" s="7">
        <v>3</v>
      </c>
      <c r="H54" s="7">
        <v>3</v>
      </c>
      <c r="I54" s="7">
        <v>3</v>
      </c>
    </row>
    <row r="55" spans="1:9" x14ac:dyDescent="0.3">
      <c r="A55" s="25" t="s">
        <v>55</v>
      </c>
      <c r="B55" s="7">
        <v>6773</v>
      </c>
      <c r="C55" s="7">
        <v>7786</v>
      </c>
      <c r="D55" s="7">
        <v>5710</v>
      </c>
      <c r="E55" s="7">
        <v>6384</v>
      </c>
      <c r="F55" s="7">
        <v>7163</v>
      </c>
      <c r="G55" s="7">
        <v>8299</v>
      </c>
      <c r="H55" s="7">
        <v>9965</v>
      </c>
      <c r="I55" s="7">
        <v>11484</v>
      </c>
    </row>
    <row r="56" spans="1:9" x14ac:dyDescent="0.3">
      <c r="A56" s="25" t="s">
        <v>56</v>
      </c>
      <c r="B56" s="7">
        <v>1246</v>
      </c>
      <c r="C56" s="7">
        <v>318</v>
      </c>
      <c r="D56" s="7">
        <v>-213</v>
      </c>
      <c r="E56" s="7">
        <v>-92</v>
      </c>
      <c r="F56" s="7">
        <v>231</v>
      </c>
      <c r="G56" s="7">
        <v>-56</v>
      </c>
      <c r="H56" s="7">
        <v>-380</v>
      </c>
      <c r="I56" s="7">
        <v>318</v>
      </c>
    </row>
    <row r="57" spans="1:9" x14ac:dyDescent="0.3">
      <c r="A57" s="25" t="s">
        <v>57</v>
      </c>
      <c r="B57" s="7">
        <v>4685</v>
      </c>
      <c r="C57" s="7">
        <v>4151</v>
      </c>
      <c r="D57" s="7">
        <v>6907</v>
      </c>
      <c r="E57" s="7">
        <v>3517</v>
      </c>
      <c r="F57" s="7">
        <v>1643</v>
      </c>
      <c r="G57" s="7">
        <v>-191</v>
      </c>
      <c r="H57" s="7">
        <v>3179</v>
      </c>
      <c r="I57" s="7">
        <v>3476</v>
      </c>
    </row>
    <row r="58" spans="1:9" x14ac:dyDescent="0.3">
      <c r="A58" s="16" t="s">
        <v>58</v>
      </c>
      <c r="B58" s="17">
        <f t="shared" ref="B58:I58" si="9">+SUM(B53:B57)</f>
        <v>12707</v>
      </c>
      <c r="C58" s="17">
        <f t="shared" si="9"/>
        <v>12258</v>
      </c>
      <c r="D58" s="17">
        <f t="shared" si="9"/>
        <v>12407</v>
      </c>
      <c r="E58" s="17">
        <f t="shared" si="9"/>
        <v>9812</v>
      </c>
      <c r="F58" s="17">
        <f t="shared" si="9"/>
        <v>9040</v>
      </c>
      <c r="G58" s="17">
        <f t="shared" si="9"/>
        <v>8055</v>
      </c>
      <c r="H58" s="17">
        <f t="shared" si="9"/>
        <v>12767</v>
      </c>
      <c r="I58" s="17">
        <f t="shared" si="9"/>
        <v>15281</v>
      </c>
    </row>
    <row r="59" spans="1:9" x14ac:dyDescent="0.3">
      <c r="A59" s="18" t="s">
        <v>59</v>
      </c>
      <c r="B59" s="19">
        <f t="shared" ref="B59:I59" si="10">+SUM(B45:B50)+B58</f>
        <v>21600</v>
      </c>
      <c r="C59" s="19">
        <f t="shared" si="10"/>
        <v>21396</v>
      </c>
      <c r="D59" s="19">
        <f t="shared" si="10"/>
        <v>23259</v>
      </c>
      <c r="E59" s="19">
        <f t="shared" si="10"/>
        <v>22536</v>
      </c>
      <c r="F59" s="19">
        <f t="shared" si="10"/>
        <v>23717</v>
      </c>
      <c r="G59" s="19">
        <f t="shared" si="10"/>
        <v>31342</v>
      </c>
      <c r="H59" s="19">
        <f t="shared" si="10"/>
        <v>37740</v>
      </c>
      <c r="I59" s="19">
        <f t="shared" si="10"/>
        <v>40321</v>
      </c>
    </row>
    <row r="60" spans="1:9" s="21" customFormat="1" x14ac:dyDescent="0.3">
      <c r="A60" s="21" t="s">
        <v>60</v>
      </c>
      <c r="B60" s="22">
        <f t="shared" ref="B60:I60" si="11">+B59-B36</f>
        <v>0</v>
      </c>
      <c r="C60" s="22">
        <f t="shared" si="11"/>
        <v>0</v>
      </c>
      <c r="D60" s="22">
        <f t="shared" si="11"/>
        <v>0</v>
      </c>
      <c r="E60" s="22">
        <f t="shared" si="11"/>
        <v>0</v>
      </c>
      <c r="F60" s="22">
        <f t="shared" si="11"/>
        <v>0</v>
      </c>
      <c r="G60" s="22">
        <f t="shared" si="11"/>
        <v>0</v>
      </c>
      <c r="H60" s="22">
        <f t="shared" si="11"/>
        <v>0</v>
      </c>
      <c r="I60" s="22">
        <f t="shared" si="11"/>
        <v>0</v>
      </c>
    </row>
    <row r="61" spans="1:9" x14ac:dyDescent="0.3">
      <c r="A61" s="23" t="s">
        <v>61</v>
      </c>
      <c r="B61" s="23"/>
      <c r="C61" s="23"/>
      <c r="D61" s="23"/>
      <c r="E61" s="23"/>
      <c r="F61" s="23"/>
      <c r="G61" s="23"/>
      <c r="H61" s="23"/>
      <c r="I61" s="23"/>
    </row>
    <row r="62" spans="1:9" x14ac:dyDescent="0.3">
      <c r="A62" t="s">
        <v>62</v>
      </c>
    </row>
    <row r="63" spans="1:9" x14ac:dyDescent="0.3">
      <c r="A63" s="10" t="s">
        <v>63</v>
      </c>
    </row>
    <row r="64" spans="1:9" s="10" customFormat="1" x14ac:dyDescent="0.3">
      <c r="A64" s="24" t="s">
        <v>64</v>
      </c>
      <c r="B64" s="11">
        <v>3273</v>
      </c>
      <c r="C64" s="11">
        <v>3760</v>
      </c>
      <c r="D64" s="11">
        <v>4240</v>
      </c>
      <c r="E64" s="11">
        <v>1933</v>
      </c>
      <c r="F64" s="11">
        <v>4029</v>
      </c>
      <c r="G64" s="11">
        <v>2539</v>
      </c>
      <c r="H64" s="11">
        <f>+H12</f>
        <v>5727</v>
      </c>
      <c r="I64" s="11">
        <f>+I12</f>
        <v>6046</v>
      </c>
    </row>
    <row r="65" spans="1:9" s="10" customFormat="1" x14ac:dyDescent="0.3">
      <c r="A65" s="15" t="s">
        <v>65</v>
      </c>
      <c r="B65" s="7"/>
      <c r="C65" s="7"/>
      <c r="D65" s="7"/>
      <c r="E65" s="7"/>
      <c r="F65" s="7"/>
      <c r="G65" s="7"/>
      <c r="H65" s="7"/>
      <c r="I65" s="7"/>
    </row>
    <row r="66" spans="1:9" x14ac:dyDescent="0.3">
      <c r="A66" s="12" t="s">
        <v>66</v>
      </c>
      <c r="B66" s="7">
        <v>606</v>
      </c>
      <c r="C66" s="7">
        <v>649</v>
      </c>
      <c r="D66" s="7">
        <v>706</v>
      </c>
      <c r="E66" s="7">
        <v>747</v>
      </c>
      <c r="F66" s="7">
        <v>705</v>
      </c>
      <c r="G66" s="7">
        <v>721</v>
      </c>
      <c r="H66" s="7">
        <v>744</v>
      </c>
      <c r="I66" s="7">
        <v>717</v>
      </c>
    </row>
    <row r="67" spans="1:9" x14ac:dyDescent="0.3">
      <c r="A67" s="12" t="s">
        <v>67</v>
      </c>
      <c r="B67" s="7">
        <v>-113</v>
      </c>
      <c r="C67" s="7">
        <v>-80</v>
      </c>
      <c r="D67" s="7">
        <v>-273</v>
      </c>
      <c r="E67" s="7">
        <v>647</v>
      </c>
      <c r="F67" s="7">
        <v>34</v>
      </c>
      <c r="G67" s="7">
        <v>-380</v>
      </c>
      <c r="H67" s="7">
        <v>-385</v>
      </c>
      <c r="I67" s="7">
        <v>-650</v>
      </c>
    </row>
    <row r="68" spans="1:9" x14ac:dyDescent="0.3">
      <c r="A68" s="12" t="s">
        <v>68</v>
      </c>
      <c r="B68" s="7">
        <v>191</v>
      </c>
      <c r="C68" s="7">
        <v>236</v>
      </c>
      <c r="D68" s="7">
        <v>215</v>
      </c>
      <c r="E68" s="7">
        <v>218</v>
      </c>
      <c r="F68" s="7">
        <v>325</v>
      </c>
      <c r="G68" s="7">
        <v>429</v>
      </c>
      <c r="H68" s="7">
        <v>611</v>
      </c>
      <c r="I68" s="7">
        <v>638</v>
      </c>
    </row>
    <row r="69" spans="1:9" x14ac:dyDescent="0.3">
      <c r="A69" s="12" t="s">
        <v>69</v>
      </c>
      <c r="B69" s="7">
        <v>43</v>
      </c>
      <c r="C69" s="7">
        <v>13</v>
      </c>
      <c r="D69" s="7">
        <v>10</v>
      </c>
      <c r="E69" s="7">
        <v>27</v>
      </c>
      <c r="F69" s="7">
        <v>15</v>
      </c>
      <c r="G69" s="7">
        <v>398</v>
      </c>
      <c r="H69" s="7">
        <v>53</v>
      </c>
      <c r="I69" s="7">
        <v>123</v>
      </c>
    </row>
    <row r="70" spans="1:9" x14ac:dyDescent="0.3">
      <c r="A70" s="12" t="s">
        <v>70</v>
      </c>
      <c r="B70" s="7">
        <v>424</v>
      </c>
      <c r="C70" s="7">
        <v>98</v>
      </c>
      <c r="D70" s="7">
        <v>-117</v>
      </c>
      <c r="E70" s="7">
        <v>-99</v>
      </c>
      <c r="F70" s="7">
        <v>233</v>
      </c>
      <c r="G70" s="7">
        <v>23</v>
      </c>
      <c r="H70" s="7">
        <v>-138</v>
      </c>
      <c r="I70" s="7">
        <v>-26</v>
      </c>
    </row>
    <row r="71" spans="1:9" x14ac:dyDescent="0.3">
      <c r="A71" s="15" t="s">
        <v>71</v>
      </c>
      <c r="B71" s="7"/>
      <c r="C71" s="7"/>
      <c r="D71" s="7"/>
      <c r="E71" s="7"/>
      <c r="F71" s="7"/>
      <c r="G71" s="7"/>
      <c r="H71" s="7"/>
      <c r="I71" s="7"/>
    </row>
    <row r="72" spans="1:9" x14ac:dyDescent="0.3">
      <c r="A72" s="12" t="s">
        <v>72</v>
      </c>
      <c r="B72" s="7">
        <v>-216</v>
      </c>
      <c r="C72" s="7">
        <v>60</v>
      </c>
      <c r="D72" s="7">
        <v>-426</v>
      </c>
      <c r="E72" s="7">
        <v>187</v>
      </c>
      <c r="F72" s="7">
        <v>-270</v>
      </c>
      <c r="G72" s="7">
        <v>1239</v>
      </c>
      <c r="H72" s="7">
        <v>-1606</v>
      </c>
      <c r="I72" s="7">
        <v>-504</v>
      </c>
    </row>
    <row r="73" spans="1:9" x14ac:dyDescent="0.3">
      <c r="A73" s="12" t="s">
        <v>73</v>
      </c>
      <c r="B73" s="7">
        <v>-621</v>
      </c>
      <c r="C73" s="7">
        <v>-590</v>
      </c>
      <c r="D73" s="7">
        <v>-231</v>
      </c>
      <c r="E73" s="7">
        <v>-255</v>
      </c>
      <c r="F73" s="7">
        <v>-490</v>
      </c>
      <c r="G73" s="7">
        <v>-1854</v>
      </c>
      <c r="H73" s="7">
        <v>507</v>
      </c>
      <c r="I73" s="7">
        <v>-1676</v>
      </c>
    </row>
    <row r="74" spans="1:9" x14ac:dyDescent="0.3">
      <c r="A74" s="12" t="s">
        <v>74</v>
      </c>
      <c r="B74" s="7">
        <v>-144</v>
      </c>
      <c r="C74" s="7">
        <v>-161</v>
      </c>
      <c r="D74" s="7">
        <v>-120</v>
      </c>
      <c r="E74" s="7">
        <v>35</v>
      </c>
      <c r="F74" s="7">
        <v>-203</v>
      </c>
      <c r="G74" s="7">
        <v>-654</v>
      </c>
      <c r="H74" s="7">
        <v>-182</v>
      </c>
      <c r="I74" s="7">
        <v>-845</v>
      </c>
    </row>
    <row r="75" spans="1:9" x14ac:dyDescent="0.3">
      <c r="A75" s="12" t="s">
        <v>75</v>
      </c>
      <c r="B75" s="7">
        <v>1237</v>
      </c>
      <c r="C75" s="7">
        <v>-889</v>
      </c>
      <c r="D75" s="7">
        <v>-158</v>
      </c>
      <c r="E75" s="7">
        <v>1515</v>
      </c>
      <c r="F75" s="7">
        <v>1525</v>
      </c>
      <c r="G75" s="7">
        <v>24</v>
      </c>
      <c r="H75" s="7">
        <v>1326</v>
      </c>
      <c r="I75" s="7">
        <v>1365</v>
      </c>
    </row>
    <row r="76" spans="1:9" x14ac:dyDescent="0.3">
      <c r="A76" s="26" t="s">
        <v>76</v>
      </c>
      <c r="B76" s="27">
        <f t="shared" ref="B76:I76" si="12">+SUM(B64:B75)</f>
        <v>4680</v>
      </c>
      <c r="C76" s="27">
        <f t="shared" si="12"/>
        <v>3096</v>
      </c>
      <c r="D76" s="27">
        <f t="shared" si="12"/>
        <v>3846</v>
      </c>
      <c r="E76" s="27">
        <f t="shared" si="12"/>
        <v>4955</v>
      </c>
      <c r="F76" s="27">
        <f t="shared" si="12"/>
        <v>5903</v>
      </c>
      <c r="G76" s="27">
        <f t="shared" si="12"/>
        <v>2485</v>
      </c>
      <c r="H76" s="27">
        <f t="shared" si="12"/>
        <v>6657</v>
      </c>
      <c r="I76" s="27">
        <f t="shared" si="12"/>
        <v>5188</v>
      </c>
    </row>
    <row r="77" spans="1:9" x14ac:dyDescent="0.3">
      <c r="A77" s="10" t="s">
        <v>77</v>
      </c>
      <c r="B77" s="7"/>
      <c r="C77" s="7"/>
      <c r="D77" s="7"/>
      <c r="E77" s="7"/>
      <c r="F77" s="7"/>
      <c r="G77" s="7"/>
      <c r="H77" s="7"/>
      <c r="I77" s="7"/>
    </row>
    <row r="78" spans="1:9" x14ac:dyDescent="0.3">
      <c r="A78" s="15" t="s">
        <v>78</v>
      </c>
      <c r="B78" s="7">
        <v>-4936</v>
      </c>
      <c r="C78" s="7">
        <v>-5367</v>
      </c>
      <c r="D78" s="7">
        <v>-5928</v>
      </c>
      <c r="E78" s="7">
        <v>-4783</v>
      </c>
      <c r="F78" s="7">
        <v>-2937</v>
      </c>
      <c r="G78" s="7">
        <v>-2426</v>
      </c>
      <c r="H78" s="7">
        <v>-9961</v>
      </c>
      <c r="I78" s="7">
        <v>-12913</v>
      </c>
    </row>
    <row r="79" spans="1:9" x14ac:dyDescent="0.3">
      <c r="A79" s="15" t="s">
        <v>79</v>
      </c>
      <c r="B79" s="7">
        <v>3655</v>
      </c>
      <c r="C79" s="7">
        <v>2924</v>
      </c>
      <c r="D79" s="7">
        <v>3623</v>
      </c>
      <c r="E79" s="7">
        <v>3613</v>
      </c>
      <c r="F79" s="7">
        <v>1715</v>
      </c>
      <c r="G79" s="7">
        <v>74</v>
      </c>
      <c r="H79" s="7">
        <v>4236</v>
      </c>
      <c r="I79" s="7">
        <v>8199</v>
      </c>
    </row>
    <row r="80" spans="1:9" x14ac:dyDescent="0.3">
      <c r="A80" s="15" t="s">
        <v>80</v>
      </c>
      <c r="B80" s="7">
        <v>2216</v>
      </c>
      <c r="C80" s="7">
        <v>2386</v>
      </c>
      <c r="D80" s="7">
        <v>2423</v>
      </c>
      <c r="E80" s="7">
        <v>2496</v>
      </c>
      <c r="F80" s="7">
        <v>2072</v>
      </c>
      <c r="G80" s="7">
        <v>2379</v>
      </c>
      <c r="H80" s="7">
        <v>2449</v>
      </c>
      <c r="I80" s="7">
        <v>3967</v>
      </c>
    </row>
    <row r="81" spans="1:9" x14ac:dyDescent="0.3">
      <c r="A81" s="15" t="s">
        <v>81</v>
      </c>
      <c r="B81" s="7">
        <v>-960</v>
      </c>
      <c r="C81" s="7">
        <v>-1133</v>
      </c>
      <c r="D81" s="7">
        <v>-1092</v>
      </c>
      <c r="E81" s="7">
        <v>-1025</v>
      </c>
      <c r="F81" s="7">
        <v>-1119</v>
      </c>
      <c r="G81" s="7">
        <v>-1086</v>
      </c>
      <c r="H81" s="7">
        <v>-695</v>
      </c>
      <c r="I81" s="7">
        <v>-758</v>
      </c>
    </row>
    <row r="82" spans="1:9" x14ac:dyDescent="0.3">
      <c r="A82" s="15" t="s">
        <v>82</v>
      </c>
      <c r="B82" s="7">
        <v>-150</v>
      </c>
      <c r="C82" s="7">
        <v>156</v>
      </c>
      <c r="D82" s="7">
        <v>-34</v>
      </c>
      <c r="E82" s="7">
        <v>-25</v>
      </c>
      <c r="F82" s="7">
        <v>5</v>
      </c>
      <c r="G82" s="7">
        <v>31</v>
      </c>
      <c r="H82" s="7">
        <v>171</v>
      </c>
      <c r="I82" s="7">
        <v>-19</v>
      </c>
    </row>
    <row r="83" spans="1:9" x14ac:dyDescent="0.3">
      <c r="A83" s="28" t="s">
        <v>83</v>
      </c>
      <c r="B83" s="27">
        <f t="shared" ref="B83:I83" si="13">+SUM(B78:B82)</f>
        <v>-175</v>
      </c>
      <c r="C83" s="27">
        <f t="shared" si="13"/>
        <v>-1034</v>
      </c>
      <c r="D83" s="27">
        <f t="shared" si="13"/>
        <v>-1008</v>
      </c>
      <c r="E83" s="27">
        <f t="shared" si="13"/>
        <v>276</v>
      </c>
      <c r="F83" s="27">
        <f t="shared" si="13"/>
        <v>-264</v>
      </c>
      <c r="G83" s="27">
        <f t="shared" si="13"/>
        <v>-1028</v>
      </c>
      <c r="H83" s="27">
        <f t="shared" si="13"/>
        <v>-3800</v>
      </c>
      <c r="I83" s="27">
        <f t="shared" si="13"/>
        <v>-1524</v>
      </c>
    </row>
    <row r="84" spans="1:9" x14ac:dyDescent="0.3">
      <c r="A84" s="10" t="s">
        <v>84</v>
      </c>
      <c r="B84" s="7"/>
      <c r="C84" s="7"/>
      <c r="D84" s="7"/>
      <c r="E84" s="7"/>
      <c r="F84" s="7"/>
      <c r="G84" s="7"/>
      <c r="H84" s="7"/>
      <c r="I84" s="7"/>
    </row>
    <row r="85" spans="1:9" x14ac:dyDescent="0.3">
      <c r="A85" s="15" t="s">
        <v>85</v>
      </c>
      <c r="B85" s="7">
        <v>0</v>
      </c>
      <c r="C85" s="7">
        <v>981</v>
      </c>
      <c r="D85" s="7">
        <v>1482</v>
      </c>
      <c r="E85" s="7">
        <v>0</v>
      </c>
      <c r="F85" s="7">
        <v>0</v>
      </c>
      <c r="G85" s="7">
        <v>6134</v>
      </c>
      <c r="H85" s="7">
        <v>0</v>
      </c>
      <c r="I85" s="7">
        <v>0</v>
      </c>
    </row>
    <row r="86" spans="1:9" x14ac:dyDescent="0.3">
      <c r="A86" s="15" t="s">
        <v>86</v>
      </c>
      <c r="B86" s="7">
        <v>-63</v>
      </c>
      <c r="C86" s="7">
        <v>-67</v>
      </c>
      <c r="D86" s="7">
        <v>327</v>
      </c>
      <c r="E86" s="7">
        <v>13</v>
      </c>
      <c r="F86" s="7">
        <v>-325</v>
      </c>
      <c r="G86" s="7">
        <v>49</v>
      </c>
      <c r="H86" s="7">
        <v>-52</v>
      </c>
      <c r="I86" s="7">
        <v>15</v>
      </c>
    </row>
    <row r="87" spans="1:9" x14ac:dyDescent="0.3">
      <c r="A87" s="15" t="s">
        <v>87</v>
      </c>
      <c r="B87" s="7">
        <v>-26</v>
      </c>
      <c r="C87" s="7">
        <v>-113</v>
      </c>
      <c r="D87" s="7">
        <v>-61</v>
      </c>
      <c r="E87" s="7">
        <v>0</v>
      </c>
      <c r="F87" s="7">
        <v>0</v>
      </c>
      <c r="G87" s="7">
        <v>0</v>
      </c>
      <c r="H87" s="7">
        <v>-197</v>
      </c>
      <c r="I87" s="7">
        <v>0</v>
      </c>
    </row>
    <row r="88" spans="1:9" x14ac:dyDescent="0.3">
      <c r="A88" s="15" t="s">
        <v>88</v>
      </c>
      <c r="B88" s="7">
        <v>514</v>
      </c>
      <c r="C88" s="7">
        <v>507</v>
      </c>
      <c r="D88" s="7">
        <v>489</v>
      </c>
      <c r="E88" s="7">
        <v>733</v>
      </c>
      <c r="F88" s="7">
        <v>700</v>
      </c>
      <c r="G88" s="7">
        <v>885</v>
      </c>
      <c r="H88" s="7">
        <v>1172</v>
      </c>
      <c r="I88" s="7">
        <v>1151</v>
      </c>
    </row>
    <row r="89" spans="1:9" x14ac:dyDescent="0.3">
      <c r="A89" s="15" t="s">
        <v>89</v>
      </c>
      <c r="B89" s="7">
        <v>-2534</v>
      </c>
      <c r="C89" s="7">
        <v>-3238</v>
      </c>
      <c r="D89" s="7">
        <v>-3223</v>
      </c>
      <c r="E89" s="7">
        <v>-4254</v>
      </c>
      <c r="F89" s="7">
        <v>-4286</v>
      </c>
      <c r="G89" s="7">
        <v>-3067</v>
      </c>
      <c r="H89" s="7">
        <v>-608</v>
      </c>
      <c r="I89" s="7">
        <v>-4014</v>
      </c>
    </row>
    <row r="90" spans="1:9" x14ac:dyDescent="0.3">
      <c r="A90" s="15" t="s">
        <v>90</v>
      </c>
      <c r="B90" s="7">
        <v>-899</v>
      </c>
      <c r="C90" s="7">
        <v>-1022</v>
      </c>
      <c r="D90" s="7">
        <v>-1133</v>
      </c>
      <c r="E90" s="7">
        <v>-1243</v>
      </c>
      <c r="F90" s="7">
        <v>-1332</v>
      </c>
      <c r="G90" s="7">
        <v>-1452</v>
      </c>
      <c r="H90" s="7">
        <v>-1638</v>
      </c>
      <c r="I90" s="7">
        <v>-1837</v>
      </c>
    </row>
    <row r="91" spans="1:9" x14ac:dyDescent="0.3">
      <c r="A91" s="15" t="s">
        <v>91</v>
      </c>
      <c r="B91" s="7">
        <v>218</v>
      </c>
      <c r="C91" s="7">
        <v>-22</v>
      </c>
      <c r="D91" s="7">
        <v>-29</v>
      </c>
      <c r="E91" s="7">
        <v>-84</v>
      </c>
      <c r="F91" s="7">
        <v>-50</v>
      </c>
      <c r="G91" s="7">
        <v>-58</v>
      </c>
      <c r="H91" s="7">
        <v>-136</v>
      </c>
      <c r="I91" s="7">
        <v>-151</v>
      </c>
    </row>
    <row r="92" spans="1:9" x14ac:dyDescent="0.3">
      <c r="A92" s="28" t="s">
        <v>92</v>
      </c>
      <c r="B92" s="27">
        <f t="shared" ref="B92:I92" si="14">+SUM(B85:B91)</f>
        <v>-2790</v>
      </c>
      <c r="C92" s="27">
        <f t="shared" si="14"/>
        <v>-2974</v>
      </c>
      <c r="D92" s="27">
        <f t="shared" si="14"/>
        <v>-2148</v>
      </c>
      <c r="E92" s="27">
        <f t="shared" si="14"/>
        <v>-4835</v>
      </c>
      <c r="F92" s="27">
        <f t="shared" si="14"/>
        <v>-5293</v>
      </c>
      <c r="G92" s="27">
        <f t="shared" si="14"/>
        <v>2491</v>
      </c>
      <c r="H92" s="27">
        <f t="shared" si="14"/>
        <v>-1459</v>
      </c>
      <c r="I92" s="27">
        <f t="shared" si="14"/>
        <v>-4836</v>
      </c>
    </row>
    <row r="93" spans="1:9" x14ac:dyDescent="0.3">
      <c r="A93" s="15" t="s">
        <v>93</v>
      </c>
      <c r="B93" s="7">
        <v>-83</v>
      </c>
      <c r="C93" s="7">
        <v>-105</v>
      </c>
      <c r="D93" s="7">
        <v>-20</v>
      </c>
      <c r="E93" s="7">
        <v>45</v>
      </c>
      <c r="F93" s="7">
        <v>-129</v>
      </c>
      <c r="G93" s="7">
        <v>-66</v>
      </c>
      <c r="H93" s="7">
        <v>143</v>
      </c>
      <c r="I93" s="7">
        <v>-143</v>
      </c>
    </row>
    <row r="94" spans="1:9" x14ac:dyDescent="0.3">
      <c r="A94" s="28" t="s">
        <v>94</v>
      </c>
      <c r="B94" s="27">
        <f t="shared" ref="B94:I94" si="15">+B76+B83+B92+B93</f>
        <v>1632</v>
      </c>
      <c r="C94" s="27">
        <f t="shared" si="15"/>
        <v>-1017</v>
      </c>
      <c r="D94" s="27">
        <f t="shared" si="15"/>
        <v>670</v>
      </c>
      <c r="E94" s="27">
        <f t="shared" si="15"/>
        <v>441</v>
      </c>
      <c r="F94" s="27">
        <f t="shared" si="15"/>
        <v>217</v>
      </c>
      <c r="G94" s="27">
        <f t="shared" si="15"/>
        <v>3882</v>
      </c>
      <c r="H94" s="27">
        <f t="shared" si="15"/>
        <v>1541</v>
      </c>
      <c r="I94" s="27">
        <f t="shared" si="15"/>
        <v>-1315</v>
      </c>
    </row>
    <row r="95" spans="1:9" x14ac:dyDescent="0.3">
      <c r="A95" t="s">
        <v>95</v>
      </c>
      <c r="B95" s="7">
        <v>2220</v>
      </c>
      <c r="C95" s="7">
        <v>3852</v>
      </c>
      <c r="D95" s="7">
        <v>3138</v>
      </c>
      <c r="E95" s="7">
        <v>3808</v>
      </c>
      <c r="F95" s="7">
        <v>4249</v>
      </c>
      <c r="G95" s="7">
        <v>4466</v>
      </c>
      <c r="H95" s="7">
        <v>8348</v>
      </c>
      <c r="I95" s="7">
        <f>+H96</f>
        <v>9889</v>
      </c>
    </row>
    <row r="96" spans="1:9" x14ac:dyDescent="0.3">
      <c r="A96" s="18" t="s">
        <v>96</v>
      </c>
      <c r="B96" s="19">
        <v>3852</v>
      </c>
      <c r="C96" s="19">
        <v>3138</v>
      </c>
      <c r="D96" s="19">
        <v>3808</v>
      </c>
      <c r="E96" s="19">
        <v>4249</v>
      </c>
      <c r="F96" s="19">
        <v>4466</v>
      </c>
      <c r="G96" s="19">
        <v>8348</v>
      </c>
      <c r="H96" s="19">
        <f>+H94+H95</f>
        <v>9889</v>
      </c>
      <c r="I96" s="19">
        <f>+I94+I95</f>
        <v>8574</v>
      </c>
    </row>
    <row r="97" spans="1:9" s="21" customFormat="1" x14ac:dyDescent="0.3">
      <c r="A97" s="21" t="s">
        <v>97</v>
      </c>
      <c r="B97" s="22">
        <f t="shared" ref="B97:I97" si="16">+B96-B25</f>
        <v>0</v>
      </c>
      <c r="C97" s="22">
        <f t="shared" si="16"/>
        <v>0</v>
      </c>
      <c r="D97" s="22">
        <f t="shared" si="16"/>
        <v>0</v>
      </c>
      <c r="E97" s="22">
        <f t="shared" si="16"/>
        <v>0</v>
      </c>
      <c r="F97" s="22">
        <f t="shared" si="16"/>
        <v>0</v>
      </c>
      <c r="G97" s="22">
        <f t="shared" si="16"/>
        <v>0</v>
      </c>
      <c r="H97" s="22">
        <f t="shared" si="16"/>
        <v>0</v>
      </c>
      <c r="I97" s="22">
        <f t="shared" si="16"/>
        <v>0</v>
      </c>
    </row>
    <row r="98" spans="1:9" x14ac:dyDescent="0.3">
      <c r="A98" t="s">
        <v>98</v>
      </c>
      <c r="B98" s="7"/>
      <c r="C98" s="7"/>
      <c r="D98" s="7"/>
      <c r="E98" s="7"/>
      <c r="F98" s="7"/>
      <c r="G98" s="7"/>
      <c r="H98" s="7"/>
      <c r="I98" s="7"/>
    </row>
    <row r="99" spans="1:9" x14ac:dyDescent="0.3">
      <c r="A99" s="15" t="s">
        <v>99</v>
      </c>
      <c r="B99" s="7"/>
      <c r="C99" s="7"/>
      <c r="D99" s="7"/>
      <c r="E99" s="7"/>
      <c r="F99" s="7"/>
      <c r="G99" s="7"/>
      <c r="H99" s="7"/>
      <c r="I99" s="7"/>
    </row>
    <row r="100" spans="1:9" x14ac:dyDescent="0.3">
      <c r="A100" s="12" t="s">
        <v>100</v>
      </c>
      <c r="B100" s="7">
        <v>53</v>
      </c>
      <c r="C100" s="7">
        <v>70</v>
      </c>
      <c r="D100" s="7">
        <v>98</v>
      </c>
      <c r="E100" s="7">
        <v>125</v>
      </c>
      <c r="F100" s="7">
        <v>153</v>
      </c>
      <c r="G100" s="7">
        <v>140</v>
      </c>
      <c r="H100" s="7">
        <v>293</v>
      </c>
      <c r="I100" s="7">
        <v>290</v>
      </c>
    </row>
    <row r="101" spans="1:9" x14ac:dyDescent="0.3">
      <c r="A101" s="12" t="s">
        <v>101</v>
      </c>
      <c r="B101" s="7">
        <v>1262</v>
      </c>
      <c r="C101" s="7">
        <v>748</v>
      </c>
      <c r="D101" s="7">
        <v>703</v>
      </c>
      <c r="E101" s="7">
        <v>529</v>
      </c>
      <c r="F101" s="7">
        <v>757</v>
      </c>
      <c r="G101" s="7">
        <v>1028</v>
      </c>
      <c r="H101" s="7">
        <v>1177</v>
      </c>
      <c r="I101" s="7">
        <v>1231</v>
      </c>
    </row>
    <row r="102" spans="1:9" x14ac:dyDescent="0.3">
      <c r="A102" s="12" t="s">
        <v>102</v>
      </c>
      <c r="B102" s="7">
        <v>206</v>
      </c>
      <c r="C102" s="7">
        <v>252</v>
      </c>
      <c r="D102" s="7">
        <v>266</v>
      </c>
      <c r="E102" s="7">
        <v>294</v>
      </c>
      <c r="F102" s="7">
        <v>160</v>
      </c>
      <c r="G102" s="7">
        <v>121</v>
      </c>
      <c r="H102" s="7">
        <v>179</v>
      </c>
      <c r="I102" s="7">
        <v>160</v>
      </c>
    </row>
    <row r="103" spans="1:9" x14ac:dyDescent="0.3">
      <c r="A103" s="12" t="s">
        <v>103</v>
      </c>
      <c r="B103" s="7">
        <v>240</v>
      </c>
      <c r="C103" s="7">
        <v>271</v>
      </c>
      <c r="D103" s="7">
        <v>300</v>
      </c>
      <c r="E103" s="7">
        <v>320</v>
      </c>
      <c r="F103" s="7">
        <v>347</v>
      </c>
      <c r="G103" s="7">
        <v>385</v>
      </c>
      <c r="H103" s="7">
        <v>438</v>
      </c>
      <c r="I103" s="7">
        <v>480</v>
      </c>
    </row>
    <row r="105" spans="1:9" x14ac:dyDescent="0.3">
      <c r="A105" s="23" t="s">
        <v>104</v>
      </c>
      <c r="B105" s="23"/>
      <c r="C105" s="23"/>
      <c r="D105" s="23"/>
      <c r="E105" s="23"/>
      <c r="F105" s="23"/>
      <c r="G105" s="23"/>
      <c r="H105" s="23"/>
      <c r="I105" s="23"/>
    </row>
    <row r="106" spans="1:9" x14ac:dyDescent="0.3">
      <c r="A106" s="29" t="s">
        <v>105</v>
      </c>
      <c r="B106" s="7"/>
      <c r="C106" s="7"/>
      <c r="D106" s="7"/>
      <c r="E106" s="7"/>
      <c r="F106" s="7"/>
      <c r="G106" s="7"/>
      <c r="H106" s="7"/>
      <c r="I106" s="7"/>
    </row>
    <row r="107" spans="1:9" x14ac:dyDescent="0.3">
      <c r="A107" s="15" t="s">
        <v>106</v>
      </c>
      <c r="B107" s="7">
        <v>13740</v>
      </c>
      <c r="C107" s="7">
        <v>14764</v>
      </c>
      <c r="D107" s="7">
        <v>15216</v>
      </c>
      <c r="E107" s="7">
        <v>14855</v>
      </c>
      <c r="F107" s="7">
        <v>15902</v>
      </c>
      <c r="G107" s="7">
        <v>14484</v>
      </c>
      <c r="H107" s="7">
        <f>+SUM(H108:H110)</f>
        <v>17179</v>
      </c>
      <c r="I107" s="7">
        <f>+SUM(I108:I110)</f>
        <v>18353</v>
      </c>
    </row>
    <row r="108" spans="1:9" x14ac:dyDescent="0.3">
      <c r="A108" s="12" t="s">
        <v>107</v>
      </c>
      <c r="B108">
        <v>8506</v>
      </c>
      <c r="C108">
        <v>9299</v>
      </c>
      <c r="D108">
        <v>9684</v>
      </c>
      <c r="E108">
        <v>9322</v>
      </c>
      <c r="F108">
        <v>10045</v>
      </c>
      <c r="G108">
        <v>9329</v>
      </c>
      <c r="H108" s="20">
        <v>11644</v>
      </c>
      <c r="I108" s="20">
        <v>12228</v>
      </c>
    </row>
    <row r="109" spans="1:9" x14ac:dyDescent="0.3">
      <c r="A109" s="12" t="s">
        <v>108</v>
      </c>
      <c r="B109">
        <v>4410</v>
      </c>
      <c r="C109">
        <v>4746</v>
      </c>
      <c r="D109">
        <v>4886</v>
      </c>
      <c r="E109">
        <v>4938</v>
      </c>
      <c r="F109">
        <v>5260</v>
      </c>
      <c r="G109">
        <v>4639</v>
      </c>
      <c r="H109" s="20">
        <v>5028</v>
      </c>
      <c r="I109" s="20">
        <v>5492</v>
      </c>
    </row>
    <row r="110" spans="1:9" x14ac:dyDescent="0.3">
      <c r="A110" s="12" t="s">
        <v>109</v>
      </c>
      <c r="B110">
        <v>824</v>
      </c>
      <c r="C110">
        <v>719</v>
      </c>
      <c r="D110">
        <v>646</v>
      </c>
      <c r="E110">
        <v>595</v>
      </c>
      <c r="F110">
        <v>597</v>
      </c>
      <c r="G110">
        <v>516</v>
      </c>
      <c r="H110">
        <v>507</v>
      </c>
      <c r="I110">
        <v>633</v>
      </c>
    </row>
    <row r="111" spans="1:9" x14ac:dyDescent="0.3">
      <c r="A111" s="15" t="s">
        <v>110</v>
      </c>
      <c r="B111" s="7">
        <f t="shared" ref="B111:I111" si="17">+SUM(B112:B114)</f>
        <v>7126</v>
      </c>
      <c r="C111" s="7">
        <f t="shared" si="17"/>
        <v>7568</v>
      </c>
      <c r="D111" s="7">
        <f t="shared" si="17"/>
        <v>7970</v>
      </c>
      <c r="E111" s="7">
        <f t="shared" si="17"/>
        <v>9242</v>
      </c>
      <c r="F111" s="7">
        <f t="shared" si="17"/>
        <v>9812</v>
      </c>
      <c r="G111" s="7">
        <f t="shared" si="17"/>
        <v>9347</v>
      </c>
      <c r="H111" s="7">
        <f t="shared" si="17"/>
        <v>11456</v>
      </c>
      <c r="I111" s="7">
        <f t="shared" si="17"/>
        <v>12479</v>
      </c>
    </row>
    <row r="112" spans="1:9" x14ac:dyDescent="0.3">
      <c r="A112" s="12" t="s">
        <v>107</v>
      </c>
      <c r="B112">
        <f>3876+827</f>
        <v>4703</v>
      </c>
      <c r="C112">
        <v>5043</v>
      </c>
      <c r="D112">
        <v>5192</v>
      </c>
      <c r="E112">
        <v>5875</v>
      </c>
      <c r="F112">
        <v>6293</v>
      </c>
      <c r="G112">
        <v>5892</v>
      </c>
      <c r="H112" s="20">
        <v>6970</v>
      </c>
      <c r="I112" s="20">
        <v>7388</v>
      </c>
    </row>
    <row r="113" spans="1:9" x14ac:dyDescent="0.3">
      <c r="A113" s="12" t="s">
        <v>108</v>
      </c>
      <c r="B113">
        <f>1552+499</f>
        <v>2051</v>
      </c>
      <c r="C113">
        <v>2149</v>
      </c>
      <c r="D113">
        <v>2395</v>
      </c>
      <c r="E113">
        <v>2940</v>
      </c>
      <c r="F113">
        <v>3087</v>
      </c>
      <c r="G113">
        <v>3053</v>
      </c>
      <c r="H113" s="20">
        <v>3996</v>
      </c>
      <c r="I113" s="20">
        <v>4527</v>
      </c>
    </row>
    <row r="114" spans="1:9" x14ac:dyDescent="0.3">
      <c r="A114" s="12" t="s">
        <v>109</v>
      </c>
      <c r="B114">
        <f>277+95</f>
        <v>372</v>
      </c>
      <c r="C114">
        <v>376</v>
      </c>
      <c r="D114">
        <v>383</v>
      </c>
      <c r="E114">
        <v>427</v>
      </c>
      <c r="F114">
        <v>432</v>
      </c>
      <c r="G114">
        <v>402</v>
      </c>
      <c r="H114">
        <v>490</v>
      </c>
      <c r="I114">
        <v>564</v>
      </c>
    </row>
    <row r="115" spans="1:9" x14ac:dyDescent="0.3">
      <c r="A115" s="15" t="s">
        <v>111</v>
      </c>
      <c r="B115" s="7">
        <v>3067</v>
      </c>
      <c r="C115" s="7">
        <v>3785</v>
      </c>
      <c r="D115" s="7">
        <v>4237</v>
      </c>
      <c r="E115" s="7">
        <v>5134</v>
      </c>
      <c r="F115" s="7">
        <v>6208</v>
      </c>
      <c r="G115" s="7">
        <v>6679</v>
      </c>
      <c r="H115" s="7">
        <f>+SUM(H116:H118)</f>
        <v>8290</v>
      </c>
      <c r="I115" s="7">
        <f>+SUM(I116:I118)</f>
        <v>7547</v>
      </c>
    </row>
    <row r="116" spans="1:9" x14ac:dyDescent="0.3">
      <c r="A116" s="12" t="s">
        <v>107</v>
      </c>
      <c r="B116">
        <v>2016</v>
      </c>
      <c r="C116">
        <v>2599</v>
      </c>
      <c r="D116">
        <v>2920</v>
      </c>
      <c r="E116">
        <v>3496</v>
      </c>
      <c r="F116">
        <v>4262</v>
      </c>
      <c r="G116">
        <v>4635</v>
      </c>
      <c r="H116" s="20">
        <v>5748</v>
      </c>
      <c r="I116" s="20">
        <v>5416</v>
      </c>
    </row>
    <row r="117" spans="1:9" x14ac:dyDescent="0.3">
      <c r="A117" s="12" t="s">
        <v>108</v>
      </c>
      <c r="B117">
        <v>925</v>
      </c>
      <c r="C117">
        <v>1055</v>
      </c>
      <c r="D117">
        <v>1188</v>
      </c>
      <c r="E117">
        <v>1508</v>
      </c>
      <c r="F117">
        <v>1808</v>
      </c>
      <c r="G117">
        <v>1896</v>
      </c>
      <c r="H117" s="20">
        <v>2347</v>
      </c>
      <c r="I117" s="20">
        <v>1938</v>
      </c>
    </row>
    <row r="118" spans="1:9" x14ac:dyDescent="0.3">
      <c r="A118" s="12" t="s">
        <v>109</v>
      </c>
      <c r="B118">
        <v>126</v>
      </c>
      <c r="C118">
        <v>131</v>
      </c>
      <c r="D118">
        <v>129</v>
      </c>
      <c r="E118">
        <v>130</v>
      </c>
      <c r="F118">
        <v>138</v>
      </c>
      <c r="G118">
        <v>148</v>
      </c>
      <c r="H118">
        <v>195</v>
      </c>
      <c r="I118">
        <v>193</v>
      </c>
    </row>
    <row r="119" spans="1:9" x14ac:dyDescent="0.3">
      <c r="A119" s="15" t="s">
        <v>112</v>
      </c>
      <c r="B119" s="7">
        <f t="shared" ref="B119:I119" si="18">+SUM(B120:B122)</f>
        <v>4653</v>
      </c>
      <c r="C119" s="7">
        <f t="shared" si="18"/>
        <v>4317</v>
      </c>
      <c r="D119" s="7">
        <f t="shared" si="18"/>
        <v>4737</v>
      </c>
      <c r="E119" s="7">
        <f t="shared" si="18"/>
        <v>5166</v>
      </c>
      <c r="F119" s="7">
        <f t="shared" si="18"/>
        <v>5254</v>
      </c>
      <c r="G119" s="7">
        <f t="shared" si="18"/>
        <v>5028</v>
      </c>
      <c r="H119" s="7">
        <f t="shared" si="18"/>
        <v>5343</v>
      </c>
      <c r="I119" s="7">
        <f t="shared" si="18"/>
        <v>5955</v>
      </c>
    </row>
    <row r="120" spans="1:9" x14ac:dyDescent="0.3">
      <c r="A120" s="12" t="s">
        <v>107</v>
      </c>
      <c r="B120">
        <v>3093</v>
      </c>
      <c r="C120">
        <v>2930</v>
      </c>
      <c r="D120">
        <v>3285</v>
      </c>
      <c r="E120">
        <v>3575</v>
      </c>
      <c r="F120">
        <v>3622</v>
      </c>
      <c r="G120">
        <v>3449</v>
      </c>
      <c r="H120" s="20">
        <v>3659</v>
      </c>
      <c r="I120" s="20">
        <v>4111</v>
      </c>
    </row>
    <row r="121" spans="1:9" x14ac:dyDescent="0.3">
      <c r="A121" s="12" t="s">
        <v>108</v>
      </c>
      <c r="B121">
        <v>1251</v>
      </c>
      <c r="C121">
        <v>1117</v>
      </c>
      <c r="D121">
        <v>1185</v>
      </c>
      <c r="E121">
        <v>1347</v>
      </c>
      <c r="F121">
        <v>1395</v>
      </c>
      <c r="G121">
        <v>1365</v>
      </c>
      <c r="H121" s="20">
        <v>1494</v>
      </c>
      <c r="I121" s="20">
        <v>1610</v>
      </c>
    </row>
    <row r="122" spans="1:9" x14ac:dyDescent="0.3">
      <c r="A122" s="12" t="s">
        <v>109</v>
      </c>
      <c r="B122">
        <v>309</v>
      </c>
      <c r="C122">
        <v>270</v>
      </c>
      <c r="D122">
        <v>267</v>
      </c>
      <c r="E122">
        <v>244</v>
      </c>
      <c r="F122">
        <v>237</v>
      </c>
      <c r="G122">
        <v>214</v>
      </c>
      <c r="H122">
        <v>190</v>
      </c>
      <c r="I122">
        <v>234</v>
      </c>
    </row>
    <row r="123" spans="1:9" x14ac:dyDescent="0.3">
      <c r="A123" s="15" t="s">
        <v>113</v>
      </c>
      <c r="B123" s="7">
        <v>115</v>
      </c>
      <c r="C123" s="7">
        <v>73</v>
      </c>
      <c r="D123" s="7">
        <v>73</v>
      </c>
      <c r="E123" s="7">
        <v>88</v>
      </c>
      <c r="F123" s="7">
        <v>42</v>
      </c>
      <c r="G123" s="7">
        <v>30</v>
      </c>
      <c r="H123" s="7">
        <v>25</v>
      </c>
      <c r="I123" s="7">
        <v>102</v>
      </c>
    </row>
    <row r="124" spans="1:9" x14ac:dyDescent="0.3">
      <c r="A124" s="16" t="s">
        <v>114</v>
      </c>
      <c r="B124" s="17">
        <f t="shared" ref="B124:I124" si="19">+B107+B111+B115+B119+B123</f>
        <v>28701</v>
      </c>
      <c r="C124" s="17">
        <f t="shared" si="19"/>
        <v>30507</v>
      </c>
      <c r="D124" s="17">
        <f t="shared" si="19"/>
        <v>32233</v>
      </c>
      <c r="E124" s="17">
        <f t="shared" si="19"/>
        <v>34485</v>
      </c>
      <c r="F124" s="17">
        <f t="shared" si="19"/>
        <v>37218</v>
      </c>
      <c r="G124" s="17">
        <f t="shared" si="19"/>
        <v>35568</v>
      </c>
      <c r="H124" s="17">
        <f t="shared" si="19"/>
        <v>42293</v>
      </c>
      <c r="I124" s="17">
        <f t="shared" si="19"/>
        <v>44436</v>
      </c>
    </row>
    <row r="125" spans="1:9" x14ac:dyDescent="0.3">
      <c r="A125" s="15" t="s">
        <v>115</v>
      </c>
      <c r="B125" s="7">
        <v>1982</v>
      </c>
      <c r="C125" s="7">
        <v>1955</v>
      </c>
      <c r="D125" s="7">
        <v>2042</v>
      </c>
      <c r="E125" s="7">
        <v>1886</v>
      </c>
      <c r="F125" s="7">
        <v>1906</v>
      </c>
      <c r="G125" s="7">
        <v>1846</v>
      </c>
      <c r="H125" s="7">
        <f>+SUM(H126:H129)</f>
        <v>2205</v>
      </c>
      <c r="I125" s="7">
        <f>+SUM(I126:I129)</f>
        <v>2346</v>
      </c>
    </row>
    <row r="126" spans="1:9" x14ac:dyDescent="0.3">
      <c r="A126" s="12" t="s">
        <v>107</v>
      </c>
      <c r="B126" s="7">
        <v>18318</v>
      </c>
      <c r="C126" s="7">
        <v>19871</v>
      </c>
      <c r="D126" s="7">
        <v>21081</v>
      </c>
      <c r="E126" s="7">
        <v>22268</v>
      </c>
      <c r="F126" s="7">
        <v>25880</v>
      </c>
      <c r="G126" s="7">
        <v>24947</v>
      </c>
      <c r="H126" s="7">
        <v>1986</v>
      </c>
      <c r="I126" s="7">
        <v>2094</v>
      </c>
    </row>
    <row r="127" spans="1:9" x14ac:dyDescent="0.3">
      <c r="A127" s="12" t="s">
        <v>108</v>
      </c>
      <c r="B127" s="7">
        <v>8637</v>
      </c>
      <c r="C127" s="7">
        <v>9067</v>
      </c>
      <c r="D127" s="7">
        <v>9654</v>
      </c>
      <c r="E127" s="7">
        <v>10733</v>
      </c>
      <c r="F127" s="7">
        <v>11668</v>
      </c>
      <c r="G127" s="7">
        <v>11042</v>
      </c>
      <c r="H127" s="7">
        <v>104</v>
      </c>
      <c r="I127" s="7">
        <v>103</v>
      </c>
    </row>
    <row r="128" spans="1:9" x14ac:dyDescent="0.3">
      <c r="A128" s="12" t="s">
        <v>109</v>
      </c>
      <c r="B128" s="7">
        <v>1631</v>
      </c>
      <c r="C128" s="7">
        <v>1496</v>
      </c>
      <c r="D128" s="7">
        <v>1425</v>
      </c>
      <c r="E128" s="7">
        <v>1396</v>
      </c>
      <c r="F128" s="7">
        <v>1428</v>
      </c>
      <c r="G128" s="7">
        <v>1305</v>
      </c>
      <c r="H128" s="7">
        <v>29</v>
      </c>
      <c r="I128" s="7">
        <v>26</v>
      </c>
    </row>
    <row r="129" spans="1:9" x14ac:dyDescent="0.3">
      <c r="A129" s="12" t="s">
        <v>116</v>
      </c>
      <c r="B129" s="7">
        <v>2015</v>
      </c>
      <c r="C129" s="7">
        <v>1942</v>
      </c>
      <c r="D129" s="7">
        <v>2190</v>
      </c>
      <c r="E129" s="7">
        <v>2000</v>
      </c>
      <c r="F129" s="7">
        <v>141</v>
      </c>
      <c r="G129" s="7">
        <v>109</v>
      </c>
      <c r="H129" s="7">
        <v>86</v>
      </c>
      <c r="I129" s="7">
        <v>123</v>
      </c>
    </row>
    <row r="130" spans="1:9" x14ac:dyDescent="0.3">
      <c r="A130" s="15" t="s">
        <v>117</v>
      </c>
      <c r="B130" s="7">
        <v>-82</v>
      </c>
      <c r="C130" s="7">
        <v>-86</v>
      </c>
      <c r="D130" s="7">
        <v>75</v>
      </c>
      <c r="E130" s="7">
        <v>26</v>
      </c>
      <c r="F130" s="7">
        <v>-7</v>
      </c>
      <c r="G130" s="7">
        <v>-11</v>
      </c>
      <c r="H130" s="7">
        <v>40</v>
      </c>
      <c r="I130" s="7">
        <v>-72</v>
      </c>
    </row>
    <row r="131" spans="1:9" x14ac:dyDescent="0.3">
      <c r="A131" s="18" t="s">
        <v>118</v>
      </c>
      <c r="B131" s="19">
        <f t="shared" ref="B131:I131" si="20">+B124+B125+B130</f>
        <v>30601</v>
      </c>
      <c r="C131" s="19">
        <f t="shared" si="20"/>
        <v>32376</v>
      </c>
      <c r="D131" s="19">
        <f t="shared" si="20"/>
        <v>34350</v>
      </c>
      <c r="E131" s="19">
        <f t="shared" si="20"/>
        <v>36397</v>
      </c>
      <c r="F131" s="19">
        <f t="shared" si="20"/>
        <v>39117</v>
      </c>
      <c r="G131" s="19">
        <f t="shared" si="20"/>
        <v>37403</v>
      </c>
      <c r="H131" s="19">
        <f t="shared" si="20"/>
        <v>44538</v>
      </c>
      <c r="I131" s="19">
        <f t="shared" si="20"/>
        <v>46710</v>
      </c>
    </row>
    <row r="132" spans="1:9" s="21" customFormat="1" x14ac:dyDescent="0.3">
      <c r="A132" s="21" t="s">
        <v>119</v>
      </c>
      <c r="B132" s="22">
        <f>+I131-I2</f>
        <v>0</v>
      </c>
      <c r="C132" s="22">
        <f t="shared" ref="C132:H132" si="21">+C131-C2</f>
        <v>0</v>
      </c>
      <c r="D132" s="22">
        <f t="shared" si="21"/>
        <v>0</v>
      </c>
      <c r="E132" s="22">
        <f t="shared" si="21"/>
        <v>0</v>
      </c>
      <c r="F132" s="22">
        <f t="shared" si="21"/>
        <v>0</v>
      </c>
      <c r="G132" s="22">
        <f t="shared" si="21"/>
        <v>0</v>
      </c>
      <c r="H132" s="22">
        <f t="shared" si="21"/>
        <v>0</v>
      </c>
    </row>
    <row r="133" spans="1:9" x14ac:dyDescent="0.3">
      <c r="A133" s="10" t="s">
        <v>120</v>
      </c>
    </row>
    <row r="134" spans="1:9" x14ac:dyDescent="0.3">
      <c r="A134" s="15" t="s">
        <v>106</v>
      </c>
      <c r="B134" s="7">
        <v>3645</v>
      </c>
      <c r="C134" s="7">
        <v>3763</v>
      </c>
      <c r="D134" s="7">
        <v>3875</v>
      </c>
      <c r="E134" s="7">
        <v>3600</v>
      </c>
      <c r="F134" s="7">
        <v>3925</v>
      </c>
      <c r="G134" s="7">
        <v>2899</v>
      </c>
      <c r="H134" s="7">
        <v>5089</v>
      </c>
      <c r="I134" s="7">
        <v>5114</v>
      </c>
    </row>
    <row r="135" spans="1:9" x14ac:dyDescent="0.3">
      <c r="A135" s="15" t="s">
        <v>110</v>
      </c>
      <c r="B135" s="7">
        <v>1524</v>
      </c>
      <c r="C135" s="7">
        <v>1787</v>
      </c>
      <c r="D135" s="7">
        <v>1507</v>
      </c>
      <c r="E135" s="7">
        <v>1587</v>
      </c>
      <c r="F135" s="7">
        <v>1995</v>
      </c>
      <c r="G135" s="7">
        <v>1541</v>
      </c>
      <c r="H135" s="7">
        <v>2435</v>
      </c>
      <c r="I135" s="7">
        <v>3293</v>
      </c>
    </row>
    <row r="136" spans="1:9" x14ac:dyDescent="0.3">
      <c r="A136" s="15" t="s">
        <v>111</v>
      </c>
      <c r="B136" s="7">
        <v>993</v>
      </c>
      <c r="C136" s="7">
        <v>1372</v>
      </c>
      <c r="D136" s="7">
        <v>1507</v>
      </c>
      <c r="E136" s="7">
        <v>1807</v>
      </c>
      <c r="F136" s="7">
        <v>2376</v>
      </c>
      <c r="G136" s="7">
        <v>2490</v>
      </c>
      <c r="H136" s="7">
        <v>3243</v>
      </c>
      <c r="I136" s="7">
        <v>2365</v>
      </c>
    </row>
    <row r="137" spans="1:9" x14ac:dyDescent="0.3">
      <c r="A137" s="15" t="s">
        <v>112</v>
      </c>
      <c r="B137" s="7">
        <v>918</v>
      </c>
      <c r="C137" s="7">
        <v>1002</v>
      </c>
      <c r="D137" s="7">
        <v>980</v>
      </c>
      <c r="E137" s="7">
        <v>1189</v>
      </c>
      <c r="F137" s="7">
        <v>1323</v>
      </c>
      <c r="G137" s="7">
        <v>1184</v>
      </c>
      <c r="H137" s="7">
        <v>1530</v>
      </c>
      <c r="I137" s="7">
        <v>1896</v>
      </c>
    </row>
    <row r="138" spans="1:9" x14ac:dyDescent="0.3">
      <c r="A138" s="15" t="s">
        <v>113</v>
      </c>
      <c r="B138" s="7">
        <v>-2267</v>
      </c>
      <c r="C138" s="7">
        <v>-2596</v>
      </c>
      <c r="D138" s="7">
        <v>-2677</v>
      </c>
      <c r="E138" s="7">
        <v>-2658</v>
      </c>
      <c r="F138" s="7">
        <v>-3262</v>
      </c>
      <c r="G138" s="7">
        <v>-3468</v>
      </c>
      <c r="H138" s="7">
        <v>-3656</v>
      </c>
      <c r="I138" s="7">
        <v>-4262</v>
      </c>
    </row>
    <row r="139" spans="1:9" x14ac:dyDescent="0.3">
      <c r="A139" s="16" t="s">
        <v>114</v>
      </c>
      <c r="B139" s="17">
        <f t="shared" ref="B139:I139" si="22">+SUM(B134:B138)</f>
        <v>4813</v>
      </c>
      <c r="C139" s="17">
        <f t="shared" si="22"/>
        <v>5328</v>
      </c>
      <c r="D139" s="17">
        <f t="shared" si="22"/>
        <v>5192</v>
      </c>
      <c r="E139" s="17">
        <f t="shared" si="22"/>
        <v>5525</v>
      </c>
      <c r="F139" s="17">
        <f t="shared" si="22"/>
        <v>6357</v>
      </c>
      <c r="G139" s="17">
        <f t="shared" si="22"/>
        <v>4646</v>
      </c>
      <c r="H139" s="17">
        <f t="shared" si="22"/>
        <v>8641</v>
      </c>
      <c r="I139" s="17">
        <f t="shared" si="22"/>
        <v>8406</v>
      </c>
    </row>
    <row r="140" spans="1:9" x14ac:dyDescent="0.3">
      <c r="A140" s="15" t="s">
        <v>115</v>
      </c>
      <c r="B140" s="7">
        <v>517</v>
      </c>
      <c r="C140" s="7">
        <v>487</v>
      </c>
      <c r="D140" s="7">
        <v>477</v>
      </c>
      <c r="E140" s="7">
        <v>310</v>
      </c>
      <c r="F140" s="7">
        <v>303</v>
      </c>
      <c r="G140" s="7">
        <v>297</v>
      </c>
      <c r="H140" s="7">
        <v>543</v>
      </c>
      <c r="I140" s="7">
        <v>669</v>
      </c>
    </row>
    <row r="141" spans="1:9" x14ac:dyDescent="0.3">
      <c r="A141" s="15" t="s">
        <v>117</v>
      </c>
      <c r="B141" s="7">
        <v>-1097</v>
      </c>
      <c r="C141" s="7">
        <v>-1173</v>
      </c>
      <c r="D141" s="7">
        <v>-724</v>
      </c>
      <c r="E141" s="7">
        <v>-1456</v>
      </c>
      <c r="F141" s="7">
        <v>-1810</v>
      </c>
      <c r="G141" s="7">
        <v>-1967</v>
      </c>
      <c r="H141" s="7">
        <v>-2261</v>
      </c>
      <c r="I141" s="7">
        <v>-2219</v>
      </c>
    </row>
    <row r="142" spans="1:9" x14ac:dyDescent="0.3">
      <c r="A142" s="18" t="s">
        <v>121</v>
      </c>
      <c r="B142" s="19">
        <f t="shared" ref="B142:I142" si="23">+SUM(B139:B141)</f>
        <v>4233</v>
      </c>
      <c r="C142" s="19">
        <f t="shared" si="23"/>
        <v>4642</v>
      </c>
      <c r="D142" s="19">
        <f t="shared" si="23"/>
        <v>4945</v>
      </c>
      <c r="E142" s="19">
        <f t="shared" si="23"/>
        <v>4379</v>
      </c>
      <c r="F142" s="19">
        <f t="shared" si="23"/>
        <v>4850</v>
      </c>
      <c r="G142" s="19">
        <f t="shared" si="23"/>
        <v>2976</v>
      </c>
      <c r="H142" s="19">
        <f t="shared" si="23"/>
        <v>6923</v>
      </c>
      <c r="I142" s="19">
        <f t="shared" si="23"/>
        <v>6856</v>
      </c>
    </row>
    <row r="143" spans="1:9" s="21" customFormat="1" x14ac:dyDescent="0.3">
      <c r="A143" s="21" t="s">
        <v>119</v>
      </c>
      <c r="B143" s="22">
        <f t="shared" ref="B143:I143" si="24">+B142-B10-B8</f>
        <v>0</v>
      </c>
      <c r="C143" s="22">
        <f t="shared" si="24"/>
        <v>0</v>
      </c>
      <c r="D143" s="22">
        <f t="shared" si="24"/>
        <v>0</v>
      </c>
      <c r="E143" s="22">
        <f t="shared" si="24"/>
        <v>0</v>
      </c>
      <c r="F143" s="22">
        <f t="shared" si="24"/>
        <v>0</v>
      </c>
      <c r="G143" s="22">
        <f t="shared" si="24"/>
        <v>0</v>
      </c>
      <c r="H143" s="22">
        <f t="shared" si="24"/>
        <v>0</v>
      </c>
      <c r="I143" s="22">
        <f t="shared" si="24"/>
        <v>0</v>
      </c>
    </row>
    <row r="144" spans="1:9" x14ac:dyDescent="0.3">
      <c r="A144" s="10" t="s">
        <v>122</v>
      </c>
    </row>
    <row r="145" spans="1:9" x14ac:dyDescent="0.3">
      <c r="A145" s="15" t="s">
        <v>106</v>
      </c>
      <c r="B145" s="7">
        <v>632</v>
      </c>
      <c r="C145" s="7">
        <v>742</v>
      </c>
      <c r="D145" s="7">
        <v>819</v>
      </c>
      <c r="E145" s="7">
        <v>848</v>
      </c>
      <c r="F145" s="7">
        <v>814</v>
      </c>
      <c r="G145" s="7">
        <v>645</v>
      </c>
      <c r="H145" s="7">
        <v>617</v>
      </c>
      <c r="I145" s="7">
        <v>639</v>
      </c>
    </row>
    <row r="146" spans="1:9" x14ac:dyDescent="0.3">
      <c r="A146" s="15" t="s">
        <v>110</v>
      </c>
      <c r="B146" s="7">
        <v>498</v>
      </c>
      <c r="C146" s="7">
        <v>639</v>
      </c>
      <c r="D146" s="7">
        <v>709</v>
      </c>
      <c r="E146" s="7">
        <v>849</v>
      </c>
      <c r="F146" s="7">
        <v>929</v>
      </c>
      <c r="G146" s="7">
        <v>885</v>
      </c>
      <c r="H146" s="7">
        <v>982</v>
      </c>
      <c r="I146" s="7">
        <v>920</v>
      </c>
    </row>
    <row r="147" spans="1:9" x14ac:dyDescent="0.3">
      <c r="A147" s="15" t="s">
        <v>111</v>
      </c>
      <c r="B147" s="7">
        <v>254</v>
      </c>
      <c r="C147" s="7">
        <v>234</v>
      </c>
      <c r="D147" s="7">
        <v>225</v>
      </c>
      <c r="E147" s="7">
        <v>256</v>
      </c>
      <c r="F147" s="7">
        <v>237</v>
      </c>
      <c r="G147" s="7">
        <v>214</v>
      </c>
      <c r="H147" s="7">
        <v>288</v>
      </c>
      <c r="I147" s="7">
        <v>303</v>
      </c>
    </row>
    <row r="148" spans="1:9" x14ac:dyDescent="0.3">
      <c r="A148" s="15" t="s">
        <v>123</v>
      </c>
      <c r="B148" s="7">
        <v>308</v>
      </c>
      <c r="C148" s="7">
        <v>332</v>
      </c>
      <c r="D148" s="7">
        <v>340</v>
      </c>
      <c r="E148" s="7">
        <v>339</v>
      </c>
      <c r="F148" s="7">
        <v>326</v>
      </c>
      <c r="G148" s="7">
        <v>296</v>
      </c>
      <c r="H148" s="7">
        <v>304</v>
      </c>
      <c r="I148" s="7">
        <v>274</v>
      </c>
    </row>
    <row r="149" spans="1:9" x14ac:dyDescent="0.3">
      <c r="A149" s="15" t="s">
        <v>113</v>
      </c>
      <c r="B149" s="7">
        <v>484</v>
      </c>
      <c r="C149" s="7">
        <v>511</v>
      </c>
      <c r="D149" s="7">
        <v>533</v>
      </c>
      <c r="E149" s="7">
        <v>597</v>
      </c>
      <c r="F149" s="7">
        <v>665</v>
      </c>
      <c r="G149" s="7">
        <v>830</v>
      </c>
      <c r="H149" s="7">
        <v>780</v>
      </c>
      <c r="I149" s="7">
        <v>789</v>
      </c>
    </row>
    <row r="150" spans="1:9" x14ac:dyDescent="0.3">
      <c r="A150" s="16" t="s">
        <v>124</v>
      </c>
      <c r="B150" s="17">
        <f t="shared" ref="B150:I150" si="25">+SUM(B145:B149)</f>
        <v>2176</v>
      </c>
      <c r="C150" s="17">
        <f t="shared" si="25"/>
        <v>2458</v>
      </c>
      <c r="D150" s="17">
        <f t="shared" si="25"/>
        <v>2626</v>
      </c>
      <c r="E150" s="17">
        <f t="shared" si="25"/>
        <v>2889</v>
      </c>
      <c r="F150" s="17">
        <f t="shared" si="25"/>
        <v>2971</v>
      </c>
      <c r="G150" s="17">
        <f t="shared" si="25"/>
        <v>2870</v>
      </c>
      <c r="H150" s="17">
        <f t="shared" si="25"/>
        <v>2971</v>
      </c>
      <c r="I150" s="17">
        <f t="shared" si="25"/>
        <v>2925</v>
      </c>
    </row>
    <row r="151" spans="1:9" x14ac:dyDescent="0.3">
      <c r="A151" s="15" t="s">
        <v>115</v>
      </c>
      <c r="B151" s="7">
        <v>122</v>
      </c>
      <c r="C151" s="7">
        <v>125</v>
      </c>
      <c r="D151" s="7">
        <v>125</v>
      </c>
      <c r="E151" s="7">
        <v>115</v>
      </c>
      <c r="F151" s="7">
        <v>100</v>
      </c>
      <c r="G151" s="7">
        <v>80</v>
      </c>
      <c r="H151" s="7">
        <v>63</v>
      </c>
      <c r="I151" s="7">
        <v>49</v>
      </c>
    </row>
    <row r="152" spans="1:9" x14ac:dyDescent="0.3">
      <c r="A152" s="15" t="s">
        <v>117</v>
      </c>
      <c r="B152" s="7">
        <v>713</v>
      </c>
      <c r="C152" s="7">
        <v>937</v>
      </c>
      <c r="D152" s="7">
        <v>1238</v>
      </c>
      <c r="E152" s="7">
        <v>1450</v>
      </c>
      <c r="F152" s="7">
        <v>1673</v>
      </c>
      <c r="G152" s="7">
        <v>1916</v>
      </c>
      <c r="H152" s="7">
        <v>1870</v>
      </c>
      <c r="I152" s="7">
        <v>1817</v>
      </c>
    </row>
    <row r="153" spans="1:9" x14ac:dyDescent="0.3">
      <c r="A153" s="18" t="s">
        <v>125</v>
      </c>
      <c r="B153" s="19">
        <f t="shared" ref="B153:I153" si="26">+SUM(B150:B152)</f>
        <v>3011</v>
      </c>
      <c r="C153" s="19">
        <f t="shared" si="26"/>
        <v>3520</v>
      </c>
      <c r="D153" s="19">
        <f t="shared" si="26"/>
        <v>3989</v>
      </c>
      <c r="E153" s="19">
        <f t="shared" si="26"/>
        <v>4454</v>
      </c>
      <c r="F153" s="19">
        <f t="shared" si="26"/>
        <v>4744</v>
      </c>
      <c r="G153" s="19">
        <f t="shared" si="26"/>
        <v>4866</v>
      </c>
      <c r="H153" s="19">
        <f t="shared" si="26"/>
        <v>4904</v>
      </c>
      <c r="I153" s="19">
        <f t="shared" si="26"/>
        <v>4791</v>
      </c>
    </row>
    <row r="154" spans="1:9" x14ac:dyDescent="0.3">
      <c r="A154" s="21" t="s">
        <v>119</v>
      </c>
      <c r="B154" s="22">
        <f t="shared" ref="B154:I154" si="27">+B153-B31</f>
        <v>0</v>
      </c>
      <c r="C154" s="22">
        <f t="shared" si="27"/>
        <v>0</v>
      </c>
      <c r="D154" s="22">
        <f t="shared" si="27"/>
        <v>0</v>
      </c>
      <c r="E154" s="22">
        <f t="shared" si="27"/>
        <v>0</v>
      </c>
      <c r="F154" s="22">
        <f t="shared" si="27"/>
        <v>0</v>
      </c>
      <c r="G154" s="22">
        <f t="shared" si="27"/>
        <v>0</v>
      </c>
      <c r="H154" s="22">
        <f t="shared" si="27"/>
        <v>0</v>
      </c>
      <c r="I154" s="22">
        <f t="shared" si="27"/>
        <v>0</v>
      </c>
    </row>
    <row r="155" spans="1:9" x14ac:dyDescent="0.3">
      <c r="A155" s="10" t="s">
        <v>126</v>
      </c>
    </row>
    <row r="156" spans="1:9" x14ac:dyDescent="0.3">
      <c r="A156" s="15" t="s">
        <v>106</v>
      </c>
      <c r="B156" s="7">
        <v>208</v>
      </c>
      <c r="C156" s="7">
        <v>242</v>
      </c>
      <c r="D156" s="7">
        <v>223</v>
      </c>
      <c r="E156" s="7">
        <v>196</v>
      </c>
      <c r="F156" s="7">
        <v>117</v>
      </c>
      <c r="G156" s="7">
        <v>110</v>
      </c>
      <c r="H156" s="7">
        <v>98</v>
      </c>
      <c r="I156" s="7">
        <v>146</v>
      </c>
    </row>
    <row r="157" spans="1:9" x14ac:dyDescent="0.3">
      <c r="A157" s="15" t="s">
        <v>110</v>
      </c>
      <c r="B157" s="7">
        <v>232</v>
      </c>
      <c r="C157" s="7">
        <v>236</v>
      </c>
      <c r="D157" s="7">
        <v>173</v>
      </c>
      <c r="E157" s="7">
        <v>240</v>
      </c>
      <c r="F157" s="7">
        <v>233</v>
      </c>
      <c r="G157" s="7">
        <v>139</v>
      </c>
      <c r="H157" s="7">
        <v>153</v>
      </c>
      <c r="I157" s="7">
        <v>197</v>
      </c>
    </row>
    <row r="158" spans="1:9" x14ac:dyDescent="0.3">
      <c r="A158" s="15" t="s">
        <v>111</v>
      </c>
      <c r="B158" s="7">
        <v>69</v>
      </c>
      <c r="C158" s="7">
        <v>44</v>
      </c>
      <c r="D158" s="7">
        <v>51</v>
      </c>
      <c r="E158" s="7">
        <v>76</v>
      </c>
      <c r="F158" s="7">
        <v>49</v>
      </c>
      <c r="G158" s="7">
        <v>28</v>
      </c>
      <c r="H158" s="7">
        <v>94</v>
      </c>
      <c r="I158" s="7">
        <v>78</v>
      </c>
    </row>
    <row r="159" spans="1:9" x14ac:dyDescent="0.3">
      <c r="A159" s="15" t="s">
        <v>123</v>
      </c>
      <c r="B159" s="7">
        <v>64</v>
      </c>
      <c r="C159" s="7">
        <v>52</v>
      </c>
      <c r="D159" s="7">
        <v>59</v>
      </c>
      <c r="E159" s="7">
        <v>49</v>
      </c>
      <c r="F159" s="7">
        <v>47</v>
      </c>
      <c r="G159" s="7">
        <v>41</v>
      </c>
      <c r="H159" s="7">
        <v>54</v>
      </c>
      <c r="I159" s="7">
        <v>56</v>
      </c>
    </row>
    <row r="160" spans="1:9" x14ac:dyDescent="0.3">
      <c r="A160" s="15" t="s">
        <v>113</v>
      </c>
      <c r="B160" s="7">
        <v>225</v>
      </c>
      <c r="C160" s="7">
        <v>258</v>
      </c>
      <c r="D160" s="7">
        <v>278</v>
      </c>
      <c r="E160" s="7">
        <v>286</v>
      </c>
      <c r="F160" s="7">
        <v>278</v>
      </c>
      <c r="G160" s="7">
        <v>438</v>
      </c>
      <c r="H160" s="7">
        <v>278</v>
      </c>
      <c r="I160" s="7">
        <v>222</v>
      </c>
    </row>
    <row r="161" spans="1:9" x14ac:dyDescent="0.3">
      <c r="A161" s="16" t="s">
        <v>124</v>
      </c>
      <c r="B161" s="17">
        <f t="shared" ref="B161:I161" si="28">+SUM(B156:B160)</f>
        <v>798</v>
      </c>
      <c r="C161" s="17">
        <f t="shared" si="28"/>
        <v>832</v>
      </c>
      <c r="D161" s="17">
        <f t="shared" si="28"/>
        <v>784</v>
      </c>
      <c r="E161" s="17">
        <f t="shared" si="28"/>
        <v>847</v>
      </c>
      <c r="F161" s="17">
        <f t="shared" si="28"/>
        <v>724</v>
      </c>
      <c r="G161" s="17">
        <f t="shared" si="28"/>
        <v>756</v>
      </c>
      <c r="H161" s="17">
        <f t="shared" si="28"/>
        <v>677</v>
      </c>
      <c r="I161" s="17">
        <f t="shared" si="28"/>
        <v>699</v>
      </c>
    </row>
    <row r="162" spans="1:9" x14ac:dyDescent="0.3">
      <c r="A162" s="15" t="s">
        <v>115</v>
      </c>
      <c r="B162" s="7">
        <v>69</v>
      </c>
      <c r="C162" s="7">
        <v>39</v>
      </c>
      <c r="D162" s="7">
        <v>30</v>
      </c>
      <c r="E162" s="7">
        <v>22</v>
      </c>
      <c r="F162" s="7">
        <v>18</v>
      </c>
      <c r="G162" s="7">
        <v>12</v>
      </c>
      <c r="H162" s="7">
        <v>7</v>
      </c>
      <c r="I162" s="7">
        <v>9</v>
      </c>
    </row>
    <row r="163" spans="1:9" x14ac:dyDescent="0.3">
      <c r="A163" s="15" t="s">
        <v>117</v>
      </c>
      <c r="B163" s="7">
        <f t="shared" ref="B163:I163" si="29">-(SUM(B161:B162)+B81)</f>
        <v>93</v>
      </c>
      <c r="C163" s="7">
        <f t="shared" si="29"/>
        <v>262</v>
      </c>
      <c r="D163" s="7">
        <f t="shared" si="29"/>
        <v>278</v>
      </c>
      <c r="E163" s="7">
        <f t="shared" si="29"/>
        <v>156</v>
      </c>
      <c r="F163" s="7">
        <f t="shared" si="29"/>
        <v>377</v>
      </c>
      <c r="G163" s="7">
        <f t="shared" si="29"/>
        <v>318</v>
      </c>
      <c r="H163" s="7">
        <f t="shared" si="29"/>
        <v>11</v>
      </c>
      <c r="I163" s="7">
        <f t="shared" si="29"/>
        <v>50</v>
      </c>
    </row>
    <row r="164" spans="1:9" x14ac:dyDescent="0.3">
      <c r="A164" s="18" t="s">
        <v>127</v>
      </c>
      <c r="B164" s="19">
        <f t="shared" ref="B164:I164" si="30">+SUM(B161:B163)</f>
        <v>960</v>
      </c>
      <c r="C164" s="19">
        <f t="shared" si="30"/>
        <v>1133</v>
      </c>
      <c r="D164" s="19">
        <f t="shared" si="30"/>
        <v>1092</v>
      </c>
      <c r="E164" s="19">
        <f t="shared" si="30"/>
        <v>1025</v>
      </c>
      <c r="F164" s="19">
        <f t="shared" si="30"/>
        <v>1119</v>
      </c>
      <c r="G164" s="19">
        <f t="shared" si="30"/>
        <v>1086</v>
      </c>
      <c r="H164" s="19">
        <f t="shared" si="30"/>
        <v>695</v>
      </c>
      <c r="I164" s="19">
        <f t="shared" si="30"/>
        <v>758</v>
      </c>
    </row>
    <row r="165" spans="1:9" x14ac:dyDescent="0.3">
      <c r="A165" s="21" t="s">
        <v>119</v>
      </c>
      <c r="B165" s="22">
        <f t="shared" ref="B165:I165" si="31">+B164+B81</f>
        <v>0</v>
      </c>
      <c r="C165" s="22">
        <f t="shared" si="31"/>
        <v>0</v>
      </c>
      <c r="D165" s="22">
        <f t="shared" si="31"/>
        <v>0</v>
      </c>
      <c r="E165" s="22">
        <f t="shared" si="31"/>
        <v>0</v>
      </c>
      <c r="F165" s="22">
        <f t="shared" si="31"/>
        <v>0</v>
      </c>
      <c r="G165" s="22">
        <f t="shared" si="31"/>
        <v>0</v>
      </c>
      <c r="H165" s="22">
        <f t="shared" si="31"/>
        <v>0</v>
      </c>
      <c r="I165" s="22">
        <f t="shared" si="31"/>
        <v>0</v>
      </c>
    </row>
    <row r="166" spans="1:9" x14ac:dyDescent="0.3">
      <c r="A166" s="10" t="s">
        <v>128</v>
      </c>
    </row>
    <row r="167" spans="1:9" x14ac:dyDescent="0.3">
      <c r="A167" s="15" t="s">
        <v>106</v>
      </c>
      <c r="B167" s="7">
        <v>121</v>
      </c>
      <c r="C167" s="7">
        <v>133</v>
      </c>
      <c r="D167" s="7">
        <v>140</v>
      </c>
      <c r="E167" s="7">
        <v>160</v>
      </c>
      <c r="F167" s="7">
        <v>149</v>
      </c>
      <c r="G167" s="7">
        <v>148</v>
      </c>
      <c r="H167" s="7">
        <v>130</v>
      </c>
      <c r="I167" s="7">
        <v>124</v>
      </c>
    </row>
    <row r="168" spans="1:9" x14ac:dyDescent="0.3">
      <c r="A168" s="15" t="s">
        <v>110</v>
      </c>
      <c r="B168" s="7">
        <v>87</v>
      </c>
      <c r="C168" s="7">
        <v>85</v>
      </c>
      <c r="D168" s="7">
        <v>106</v>
      </c>
      <c r="E168" s="7">
        <v>116</v>
      </c>
      <c r="F168" s="7">
        <v>111</v>
      </c>
      <c r="G168" s="7">
        <v>132</v>
      </c>
      <c r="H168" s="7">
        <v>136</v>
      </c>
      <c r="I168" s="7">
        <v>134</v>
      </c>
    </row>
    <row r="169" spans="1:9" x14ac:dyDescent="0.3">
      <c r="A169" s="15" t="s">
        <v>111</v>
      </c>
      <c r="B169" s="7">
        <v>46</v>
      </c>
      <c r="C169" s="7">
        <v>48</v>
      </c>
      <c r="D169" s="7">
        <v>54</v>
      </c>
      <c r="E169" s="7">
        <v>56</v>
      </c>
      <c r="F169" s="7">
        <v>50</v>
      </c>
      <c r="G169" s="7">
        <v>44</v>
      </c>
      <c r="H169" s="7">
        <v>46</v>
      </c>
      <c r="I169" s="7">
        <v>41</v>
      </c>
    </row>
    <row r="170" spans="1:9" x14ac:dyDescent="0.3">
      <c r="A170" s="15" t="s">
        <v>112</v>
      </c>
      <c r="B170" s="7">
        <v>49</v>
      </c>
      <c r="C170" s="7">
        <v>42</v>
      </c>
      <c r="D170" s="7">
        <v>54</v>
      </c>
      <c r="E170" s="7">
        <v>55</v>
      </c>
      <c r="F170" s="7">
        <v>53</v>
      </c>
      <c r="G170" s="7">
        <v>46</v>
      </c>
      <c r="H170" s="7">
        <v>43</v>
      </c>
      <c r="I170" s="7">
        <v>42</v>
      </c>
    </row>
    <row r="171" spans="1:9" x14ac:dyDescent="0.3">
      <c r="A171" s="15" t="s">
        <v>113</v>
      </c>
      <c r="B171" s="7">
        <v>210</v>
      </c>
      <c r="C171" s="7">
        <v>230</v>
      </c>
      <c r="D171" s="7">
        <v>233</v>
      </c>
      <c r="E171" s="7">
        <v>217</v>
      </c>
      <c r="F171" s="7">
        <v>195</v>
      </c>
      <c r="G171" s="7">
        <v>214</v>
      </c>
      <c r="H171" s="7">
        <v>222</v>
      </c>
      <c r="I171" s="7">
        <v>220</v>
      </c>
    </row>
    <row r="172" spans="1:9" x14ac:dyDescent="0.3">
      <c r="A172" s="16" t="s">
        <v>124</v>
      </c>
      <c r="B172" s="17">
        <f t="shared" ref="B172:I172" si="32">+SUM(B167:B171)</f>
        <v>513</v>
      </c>
      <c r="C172" s="17">
        <f t="shared" si="32"/>
        <v>538</v>
      </c>
      <c r="D172" s="17">
        <f t="shared" si="32"/>
        <v>587</v>
      </c>
      <c r="E172" s="17">
        <f t="shared" si="32"/>
        <v>604</v>
      </c>
      <c r="F172" s="17">
        <f t="shared" si="32"/>
        <v>558</v>
      </c>
      <c r="G172" s="17">
        <f t="shared" si="32"/>
        <v>584</v>
      </c>
      <c r="H172" s="17">
        <f t="shared" si="32"/>
        <v>577</v>
      </c>
      <c r="I172" s="17">
        <f t="shared" si="32"/>
        <v>561</v>
      </c>
    </row>
    <row r="173" spans="1:9" x14ac:dyDescent="0.3">
      <c r="A173" s="15" t="s">
        <v>115</v>
      </c>
      <c r="B173" s="7">
        <v>18</v>
      </c>
      <c r="C173" s="7">
        <v>27</v>
      </c>
      <c r="D173" s="7">
        <v>28</v>
      </c>
      <c r="E173" s="7">
        <v>33</v>
      </c>
      <c r="F173" s="7">
        <v>31</v>
      </c>
      <c r="G173" s="7">
        <v>25</v>
      </c>
      <c r="H173" s="7">
        <v>26</v>
      </c>
      <c r="I173" s="7">
        <v>22</v>
      </c>
    </row>
    <row r="174" spans="1:9" x14ac:dyDescent="0.3">
      <c r="A174" s="15" t="s">
        <v>117</v>
      </c>
      <c r="B174" s="7">
        <v>75</v>
      </c>
      <c r="C174" s="7">
        <v>84</v>
      </c>
      <c r="D174" s="7">
        <v>91</v>
      </c>
      <c r="E174" s="7">
        <v>110</v>
      </c>
      <c r="F174" s="7">
        <v>116</v>
      </c>
      <c r="G174" s="7">
        <v>112</v>
      </c>
      <c r="H174" s="7">
        <v>141</v>
      </c>
      <c r="I174" s="7">
        <v>134</v>
      </c>
    </row>
    <row r="175" spans="1:9" x14ac:dyDescent="0.3">
      <c r="A175" s="18" t="s">
        <v>129</v>
      </c>
      <c r="B175" s="19">
        <f t="shared" ref="B175:I175" si="33">+SUM(B172:B174)</f>
        <v>606</v>
      </c>
      <c r="C175" s="19">
        <f t="shared" si="33"/>
        <v>649</v>
      </c>
      <c r="D175" s="19">
        <f t="shared" si="33"/>
        <v>706</v>
      </c>
      <c r="E175" s="19">
        <f t="shared" si="33"/>
        <v>747</v>
      </c>
      <c r="F175" s="19">
        <f t="shared" si="33"/>
        <v>705</v>
      </c>
      <c r="G175" s="19">
        <f t="shared" si="33"/>
        <v>721</v>
      </c>
      <c r="H175" s="19">
        <f t="shared" si="33"/>
        <v>744</v>
      </c>
      <c r="I175" s="19">
        <f t="shared" si="33"/>
        <v>717</v>
      </c>
    </row>
    <row r="176" spans="1:9" x14ac:dyDescent="0.3">
      <c r="A176" s="21" t="s">
        <v>119</v>
      </c>
      <c r="B176" s="22">
        <f t="shared" ref="B176:I176" si="34">+B175-B66</f>
        <v>0</v>
      </c>
      <c r="C176" s="22">
        <f t="shared" si="34"/>
        <v>0</v>
      </c>
      <c r="D176" s="22">
        <f t="shared" si="34"/>
        <v>0</v>
      </c>
      <c r="E176" s="22">
        <f t="shared" si="34"/>
        <v>0</v>
      </c>
      <c r="F176" s="22">
        <f t="shared" si="34"/>
        <v>0</v>
      </c>
      <c r="G176" s="22">
        <f t="shared" si="34"/>
        <v>0</v>
      </c>
      <c r="H176" s="22">
        <f t="shared" si="34"/>
        <v>0</v>
      </c>
      <c r="I176" s="22">
        <f t="shared" si="34"/>
        <v>0</v>
      </c>
    </row>
    <row r="177" spans="1:9" x14ac:dyDescent="0.3">
      <c r="A177" s="23" t="s">
        <v>130</v>
      </c>
      <c r="B177" s="23"/>
      <c r="C177" s="23"/>
      <c r="D177" s="23"/>
      <c r="E177" s="23"/>
      <c r="F177" s="23"/>
      <c r="G177" s="23"/>
      <c r="H177" s="23"/>
      <c r="I177" s="23"/>
    </row>
    <row r="178" spans="1:9" x14ac:dyDescent="0.3">
      <c r="A178" s="29" t="s">
        <v>131</v>
      </c>
    </row>
    <row r="179" spans="1:9" x14ac:dyDescent="0.3">
      <c r="A179" s="30" t="s">
        <v>106</v>
      </c>
      <c r="B179" s="31">
        <f>(13740-12299)/12299</f>
        <v>0.11716399707293276</v>
      </c>
      <c r="C179" s="31">
        <f t="shared" ref="C179:H188" si="35">((C107-B107)/B107)</f>
        <v>7.4526928675400297E-2</v>
      </c>
      <c r="D179" s="31">
        <f t="shared" si="35"/>
        <v>3.061500948252506E-2</v>
      </c>
      <c r="E179" s="31">
        <f t="shared" si="35"/>
        <v>-2.3725026288117772E-2</v>
      </c>
      <c r="F179" s="31">
        <f t="shared" si="35"/>
        <v>7.0481319421070346E-2</v>
      </c>
      <c r="G179" s="31">
        <f t="shared" si="35"/>
        <v>-8.9171173437303478E-2</v>
      </c>
      <c r="H179" s="31">
        <f t="shared" si="35"/>
        <v>0.18606738470035902</v>
      </c>
      <c r="I179" s="31">
        <v>7.0000000000000007E-2</v>
      </c>
    </row>
    <row r="180" spans="1:9" x14ac:dyDescent="0.3">
      <c r="A180" s="32" t="s">
        <v>107</v>
      </c>
      <c r="B180" s="33">
        <f>(8506-7495)/7495</f>
        <v>0.13488992661774515</v>
      </c>
      <c r="C180" s="33">
        <f t="shared" si="35"/>
        <v>9.3228309428638606E-2</v>
      </c>
      <c r="D180" s="33">
        <f t="shared" si="35"/>
        <v>4.1402301322722872E-2</v>
      </c>
      <c r="E180" s="33">
        <f t="shared" si="35"/>
        <v>-3.7381247418422137E-2</v>
      </c>
      <c r="F180" s="33">
        <f t="shared" si="35"/>
        <v>7.7558463848959452E-2</v>
      </c>
      <c r="G180" s="33">
        <f t="shared" si="35"/>
        <v>-7.1279243404678949E-2</v>
      </c>
      <c r="H180" s="33">
        <f t="shared" si="35"/>
        <v>0.24815092721620752</v>
      </c>
      <c r="I180" s="33">
        <v>0.05</v>
      </c>
    </row>
    <row r="181" spans="1:9" x14ac:dyDescent="0.3">
      <c r="A181" s="32" t="s">
        <v>108</v>
      </c>
      <c r="B181" s="33">
        <f>(4410-3937)/3937</f>
        <v>0.12014224028448058</v>
      </c>
      <c r="C181" s="33">
        <f t="shared" si="35"/>
        <v>7.6190476190476197E-2</v>
      </c>
      <c r="D181" s="33">
        <f t="shared" si="35"/>
        <v>2.9498525073746312E-2</v>
      </c>
      <c r="E181" s="33">
        <f t="shared" si="35"/>
        <v>1.0642652476463364E-2</v>
      </c>
      <c r="F181" s="33">
        <f t="shared" si="35"/>
        <v>6.5208586472255969E-2</v>
      </c>
      <c r="G181" s="33">
        <f t="shared" si="35"/>
        <v>-0.11806083650190113</v>
      </c>
      <c r="H181" s="33">
        <f t="shared" si="35"/>
        <v>8.3854278939426596E-2</v>
      </c>
      <c r="I181" s="33">
        <v>0.09</v>
      </c>
    </row>
    <row r="182" spans="1:9" x14ac:dyDescent="0.3">
      <c r="A182" s="32" t="s">
        <v>109</v>
      </c>
      <c r="B182" s="33">
        <f>(824-867)/867</f>
        <v>-4.9596309111880045E-2</v>
      </c>
      <c r="C182" s="33">
        <f t="shared" si="35"/>
        <v>-0.12742718446601942</v>
      </c>
      <c r="D182" s="33">
        <f t="shared" si="35"/>
        <v>-0.10152990264255911</v>
      </c>
      <c r="E182" s="33">
        <f t="shared" si="35"/>
        <v>-7.8947368421052627E-2</v>
      </c>
      <c r="F182" s="33">
        <f t="shared" si="35"/>
        <v>3.3613445378151263E-3</v>
      </c>
      <c r="G182" s="33">
        <f t="shared" si="35"/>
        <v>-0.135678391959799</v>
      </c>
      <c r="H182" s="33">
        <f t="shared" si="35"/>
        <v>-1.7441860465116279E-2</v>
      </c>
      <c r="I182" s="33">
        <v>0.25</v>
      </c>
    </row>
    <row r="183" spans="1:9" x14ac:dyDescent="0.3">
      <c r="A183" s="30" t="s">
        <v>110</v>
      </c>
      <c r="B183" s="31">
        <f>(7126-6366)/6366</f>
        <v>0.1193842287150487</v>
      </c>
      <c r="C183" s="31">
        <f t="shared" si="35"/>
        <v>6.2026382262138649E-2</v>
      </c>
      <c r="D183" s="31">
        <f t="shared" si="35"/>
        <v>5.3118393234672302E-2</v>
      </c>
      <c r="E183" s="31">
        <f t="shared" si="35"/>
        <v>0.15959849435382686</v>
      </c>
      <c r="F183" s="31">
        <f t="shared" si="35"/>
        <v>6.1674962129409219E-2</v>
      </c>
      <c r="G183" s="31">
        <f t="shared" si="35"/>
        <v>-4.7390949857317573E-2</v>
      </c>
      <c r="H183" s="31">
        <f t="shared" si="35"/>
        <v>0.22563389322777361</v>
      </c>
      <c r="I183" s="31">
        <v>0.12</v>
      </c>
    </row>
    <row r="184" spans="1:9" x14ac:dyDescent="0.3">
      <c r="A184" s="32" t="s">
        <v>107</v>
      </c>
      <c r="B184" s="33">
        <f>(4703-4062)/4062</f>
        <v>0.15780403741999016</v>
      </c>
      <c r="C184" s="33">
        <f t="shared" si="35"/>
        <v>7.2294280246651077E-2</v>
      </c>
      <c r="D184" s="33">
        <f t="shared" si="35"/>
        <v>2.9545905215149711E-2</v>
      </c>
      <c r="E184" s="33">
        <f t="shared" si="35"/>
        <v>0.13154853620955315</v>
      </c>
      <c r="F184" s="33">
        <f t="shared" si="35"/>
        <v>7.114893617021277E-2</v>
      </c>
      <c r="G184" s="33">
        <f t="shared" si="35"/>
        <v>-6.3721595423486418E-2</v>
      </c>
      <c r="H184" s="33">
        <f t="shared" si="35"/>
        <v>0.18295994568906992</v>
      </c>
      <c r="I184" s="33">
        <v>0.09</v>
      </c>
    </row>
    <row r="185" spans="1:9" x14ac:dyDescent="0.3">
      <c r="A185" s="32" t="s">
        <v>108</v>
      </c>
      <c r="B185" s="33">
        <f>(2051-1959)/1959</f>
        <v>4.6962736089841757E-2</v>
      </c>
      <c r="C185" s="33">
        <f t="shared" si="35"/>
        <v>4.778156996587031E-2</v>
      </c>
      <c r="D185" s="33">
        <f t="shared" si="35"/>
        <v>0.11447184737087017</v>
      </c>
      <c r="E185" s="33">
        <f t="shared" si="35"/>
        <v>0.22755741127348644</v>
      </c>
      <c r="F185" s="33">
        <f t="shared" si="35"/>
        <v>0.05</v>
      </c>
      <c r="G185" s="33">
        <f t="shared" si="35"/>
        <v>-1.101392938127632E-2</v>
      </c>
      <c r="H185" s="33">
        <f t="shared" si="35"/>
        <v>0.30887651490337376</v>
      </c>
      <c r="I185" s="33">
        <v>0.16</v>
      </c>
    </row>
    <row r="186" spans="1:9" x14ac:dyDescent="0.3">
      <c r="A186" s="32" t="s">
        <v>109</v>
      </c>
      <c r="B186" s="33">
        <f>(372-345)/345</f>
        <v>7.8260869565217397E-2</v>
      </c>
      <c r="C186" s="33">
        <f t="shared" si="35"/>
        <v>1.0752688172043012E-2</v>
      </c>
      <c r="D186" s="33">
        <f t="shared" si="35"/>
        <v>1.8617021276595744E-2</v>
      </c>
      <c r="E186" s="33">
        <f t="shared" si="35"/>
        <v>0.11488250652741515</v>
      </c>
      <c r="F186" s="33">
        <f t="shared" si="35"/>
        <v>1.1709601873536301E-2</v>
      </c>
      <c r="G186" s="33">
        <f t="shared" si="35"/>
        <v>-6.9444444444444448E-2</v>
      </c>
      <c r="H186" s="33">
        <f t="shared" si="35"/>
        <v>0.21890547263681592</v>
      </c>
      <c r="I186" s="33">
        <v>0.17</v>
      </c>
    </row>
    <row r="187" spans="1:9" x14ac:dyDescent="0.3">
      <c r="A187" s="30" t="s">
        <v>111</v>
      </c>
      <c r="B187" s="31">
        <f>(3067-2602)/2602</f>
        <v>0.17870868562644121</v>
      </c>
      <c r="C187" s="31">
        <f t="shared" si="35"/>
        <v>0.23410498858819692</v>
      </c>
      <c r="D187" s="31">
        <f t="shared" si="35"/>
        <v>0.11941875825627477</v>
      </c>
      <c r="E187" s="31">
        <f t="shared" si="35"/>
        <v>0.21170639603493038</v>
      </c>
      <c r="F187" s="31">
        <f t="shared" si="35"/>
        <v>0.20919361121932217</v>
      </c>
      <c r="G187" s="31">
        <f t="shared" si="35"/>
        <v>7.5869845360824736E-2</v>
      </c>
      <c r="H187" s="31">
        <f t="shared" si="35"/>
        <v>0.24120377301991316</v>
      </c>
      <c r="I187" s="31">
        <v>-0.13</v>
      </c>
    </row>
    <row r="188" spans="1:9" x14ac:dyDescent="0.3">
      <c r="A188" s="32" t="s">
        <v>107</v>
      </c>
      <c r="B188" s="33">
        <f>(2016-1600)/1600</f>
        <v>0.26</v>
      </c>
      <c r="C188" s="33">
        <f t="shared" si="35"/>
        <v>0.28918650793650796</v>
      </c>
      <c r="D188" s="33">
        <f t="shared" si="35"/>
        <v>0.12350904193920739</v>
      </c>
      <c r="E188" s="33">
        <f t="shared" si="35"/>
        <v>0.19726027397260273</v>
      </c>
      <c r="F188" s="33">
        <f t="shared" si="35"/>
        <v>0.21910755148741418</v>
      </c>
      <c r="G188" s="33">
        <f t="shared" si="35"/>
        <v>8.7517597372125763E-2</v>
      </c>
      <c r="H188" s="33">
        <f t="shared" si="35"/>
        <v>0.24012944983818771</v>
      </c>
      <c r="I188" s="33">
        <v>-0.1</v>
      </c>
    </row>
    <row r="189" spans="1:9" x14ac:dyDescent="0.3">
      <c r="A189" s="32" t="s">
        <v>108</v>
      </c>
      <c r="B189" s="33">
        <f>(925-876)/876</f>
        <v>5.5936073059360727E-2</v>
      </c>
      <c r="C189" s="33">
        <f t="shared" ref="C189:H198" si="36">((C117-B117)/B117)</f>
        <v>0.14054054054054055</v>
      </c>
      <c r="D189" s="33">
        <f t="shared" si="36"/>
        <v>0.12606635071090047</v>
      </c>
      <c r="E189" s="33">
        <f t="shared" si="36"/>
        <v>0.26936026936026936</v>
      </c>
      <c r="F189" s="33">
        <f t="shared" si="36"/>
        <v>0.19893899204244031</v>
      </c>
      <c r="G189" s="33">
        <f t="shared" si="36"/>
        <v>4.8672566371681415E-2</v>
      </c>
      <c r="H189" s="33">
        <f t="shared" si="36"/>
        <v>0.2378691983122363</v>
      </c>
      <c r="I189" s="33">
        <v>-0.21</v>
      </c>
    </row>
    <row r="190" spans="1:9" x14ac:dyDescent="0.3">
      <c r="A190" s="32" t="s">
        <v>109</v>
      </c>
      <c r="B190" s="33">
        <f>(126-126)/126</f>
        <v>0</v>
      </c>
      <c r="C190" s="33">
        <f t="shared" si="36"/>
        <v>3.968253968253968E-2</v>
      </c>
      <c r="D190" s="33">
        <f t="shared" si="36"/>
        <v>-1.5267175572519083E-2</v>
      </c>
      <c r="E190" s="33">
        <f t="shared" si="36"/>
        <v>7.7519379844961239E-3</v>
      </c>
      <c r="F190" s="33">
        <f t="shared" si="36"/>
        <v>6.1538461538461542E-2</v>
      </c>
      <c r="G190" s="33">
        <f t="shared" si="36"/>
        <v>7.2463768115942032E-2</v>
      </c>
      <c r="H190" s="33">
        <f t="shared" si="36"/>
        <v>0.31756756756756754</v>
      </c>
      <c r="I190" s="33">
        <v>-0.06</v>
      </c>
    </row>
    <row r="191" spans="1:9" x14ac:dyDescent="0.3">
      <c r="A191" s="30" t="s">
        <v>112</v>
      </c>
      <c r="B191" s="31">
        <f>(4653-4720)/4720</f>
        <v>-1.4194915254237288E-2</v>
      </c>
      <c r="C191" s="31">
        <f t="shared" si="36"/>
        <v>-7.2211476466795613E-2</v>
      </c>
      <c r="D191" s="31">
        <f t="shared" si="36"/>
        <v>9.7289784572619872E-2</v>
      </c>
      <c r="E191" s="31">
        <f t="shared" si="36"/>
        <v>9.0563647878404055E-2</v>
      </c>
      <c r="F191" s="31">
        <f t="shared" si="36"/>
        <v>1.7034456058846303E-2</v>
      </c>
      <c r="G191" s="31">
        <f t="shared" si="36"/>
        <v>-4.3014845831747243E-2</v>
      </c>
      <c r="H191" s="31">
        <f t="shared" si="36"/>
        <v>6.2649164677804292E-2</v>
      </c>
      <c r="I191" s="31">
        <v>0.16</v>
      </c>
    </row>
    <row r="192" spans="1:9" x14ac:dyDescent="0.3">
      <c r="A192" s="32" t="s">
        <v>107</v>
      </c>
      <c r="B192" s="33">
        <f>(3093-3051)/3051</f>
        <v>1.376597836774828E-2</v>
      </c>
      <c r="C192" s="33">
        <f t="shared" si="36"/>
        <v>-5.2699644358228256E-2</v>
      </c>
      <c r="D192" s="33">
        <f t="shared" si="36"/>
        <v>0.12116040955631399</v>
      </c>
      <c r="E192" s="33">
        <f t="shared" si="36"/>
        <v>8.8280060882800604E-2</v>
      </c>
      <c r="F192" s="33">
        <f t="shared" si="36"/>
        <v>1.3146853146853148E-2</v>
      </c>
      <c r="G192" s="33">
        <f t="shared" si="36"/>
        <v>-4.7763666482606291E-2</v>
      </c>
      <c r="H192" s="33">
        <f t="shared" si="36"/>
        <v>6.0887213685126125E-2</v>
      </c>
      <c r="I192" s="33">
        <v>0.17</v>
      </c>
    </row>
    <row r="193" spans="1:9" x14ac:dyDescent="0.3">
      <c r="A193" s="32" t="s">
        <v>108</v>
      </c>
      <c r="B193" s="33">
        <f>(B121-1337)/1337</f>
        <v>-6.4323111443530298E-2</v>
      </c>
      <c r="C193" s="33">
        <f t="shared" si="36"/>
        <v>-0.10711430855315747</v>
      </c>
      <c r="D193" s="33">
        <f t="shared" si="36"/>
        <v>6.087735004476276E-2</v>
      </c>
      <c r="E193" s="33">
        <f t="shared" si="36"/>
        <v>0.13670886075949368</v>
      </c>
      <c r="F193" s="33">
        <f t="shared" si="36"/>
        <v>3.5634743875278395E-2</v>
      </c>
      <c r="G193" s="33">
        <f t="shared" si="36"/>
        <v>-2.1505376344086023E-2</v>
      </c>
      <c r="H193" s="33">
        <f t="shared" si="36"/>
        <v>9.4505494505494503E-2</v>
      </c>
      <c r="I193" s="33">
        <v>0.12</v>
      </c>
    </row>
    <row r="194" spans="1:9" x14ac:dyDescent="0.3">
      <c r="A194" s="32" t="s">
        <v>109</v>
      </c>
      <c r="B194" s="33">
        <f>(B122-332)/332</f>
        <v>-6.9277108433734941E-2</v>
      </c>
      <c r="C194" s="33">
        <f t="shared" si="36"/>
        <v>-0.12621359223300971</v>
      </c>
      <c r="D194" s="33">
        <f t="shared" si="36"/>
        <v>-1.1111111111111112E-2</v>
      </c>
      <c r="E194" s="33">
        <f t="shared" si="36"/>
        <v>-8.6142322097378279E-2</v>
      </c>
      <c r="F194" s="33">
        <f t="shared" si="36"/>
        <v>-2.8688524590163935E-2</v>
      </c>
      <c r="G194" s="33">
        <f t="shared" si="36"/>
        <v>-9.7046413502109699E-2</v>
      </c>
      <c r="H194" s="33">
        <f t="shared" si="36"/>
        <v>-0.11214953271028037</v>
      </c>
      <c r="I194" s="33">
        <v>0.28000000000000003</v>
      </c>
    </row>
    <row r="195" spans="1:9" x14ac:dyDescent="0.3">
      <c r="A195" s="30" t="s">
        <v>113</v>
      </c>
      <c r="B195" s="31">
        <f>(115-125)/125</f>
        <v>-0.08</v>
      </c>
      <c r="C195" s="34">
        <f t="shared" si="36"/>
        <v>-0.36521739130434783</v>
      </c>
      <c r="D195" s="34">
        <f t="shared" si="36"/>
        <v>0</v>
      </c>
      <c r="E195" s="34">
        <f t="shared" si="36"/>
        <v>0.20547945205479451</v>
      </c>
      <c r="F195" s="34">
        <f t="shared" si="36"/>
        <v>-0.52272727272727271</v>
      </c>
      <c r="G195" s="34">
        <f t="shared" si="36"/>
        <v>-0.2857142857142857</v>
      </c>
      <c r="H195" s="31">
        <f t="shared" si="36"/>
        <v>-0.16666666666666666</v>
      </c>
      <c r="I195" s="31">
        <v>3.02</v>
      </c>
    </row>
    <row r="196" spans="1:9" x14ac:dyDescent="0.3">
      <c r="A196" s="35" t="s">
        <v>114</v>
      </c>
      <c r="B196" s="36">
        <f>(28701-26112)/26112</f>
        <v>9.914981617647059E-2</v>
      </c>
      <c r="C196" s="33">
        <f t="shared" si="36"/>
        <v>6.2924636772237905E-2</v>
      </c>
      <c r="D196" s="33">
        <f t="shared" si="36"/>
        <v>5.6577179008096501E-2</v>
      </c>
      <c r="E196" s="33">
        <f t="shared" si="36"/>
        <v>6.9866286104303038E-2</v>
      </c>
      <c r="F196" s="33">
        <f t="shared" si="36"/>
        <v>7.9251848629839056E-2</v>
      </c>
      <c r="G196" s="33">
        <f t="shared" si="36"/>
        <v>-4.4333387070772209E-2</v>
      </c>
      <c r="H196" s="37">
        <f t="shared" si="36"/>
        <v>0.18907444894286998</v>
      </c>
      <c r="I196" s="36">
        <v>0.06</v>
      </c>
    </row>
    <row r="197" spans="1:9" x14ac:dyDescent="0.3">
      <c r="A197" s="30" t="s">
        <v>115</v>
      </c>
      <c r="B197" s="31">
        <f>(1982-1684)/1684</f>
        <v>0.17695961995249407</v>
      </c>
      <c r="C197" s="31">
        <f t="shared" si="36"/>
        <v>-1.3622603430877902E-2</v>
      </c>
      <c r="D197" s="31">
        <f t="shared" si="36"/>
        <v>4.4501278772378514E-2</v>
      </c>
      <c r="E197" s="31">
        <f t="shared" si="36"/>
        <v>-7.6395690499510283E-2</v>
      </c>
      <c r="F197" s="31">
        <f t="shared" si="36"/>
        <v>1.0604453870625663E-2</v>
      </c>
      <c r="G197" s="31">
        <f t="shared" si="36"/>
        <v>-3.1479538300104928E-2</v>
      </c>
      <c r="H197" s="31">
        <f t="shared" si="36"/>
        <v>0.19447453954496208</v>
      </c>
      <c r="I197" s="31">
        <v>7.0000000000000007E-2</v>
      </c>
    </row>
    <row r="198" spans="1:9" x14ac:dyDescent="0.3">
      <c r="A198" s="32" t="s">
        <v>107</v>
      </c>
      <c r="B198" s="33">
        <f>(18318-16208)/16208</f>
        <v>0.13018262586377097</v>
      </c>
      <c r="C198" s="33">
        <f t="shared" si="36"/>
        <v>8.4779997816355493E-2</v>
      </c>
      <c r="D198" s="33">
        <f t="shared" si="36"/>
        <v>6.0892758290976803E-2</v>
      </c>
      <c r="E198" s="33">
        <f t="shared" si="36"/>
        <v>5.6306626820359564E-2</v>
      </c>
      <c r="F198" s="33">
        <f t="shared" si="36"/>
        <v>0.16220585593677025</v>
      </c>
      <c r="G198" s="33">
        <f t="shared" si="36"/>
        <v>-3.6051004636785164E-2</v>
      </c>
      <c r="H198" s="33">
        <f t="shared" si="36"/>
        <v>-0.92039122940634144</v>
      </c>
      <c r="I198" s="33">
        <v>0.06</v>
      </c>
    </row>
    <row r="199" spans="1:9" x14ac:dyDescent="0.3">
      <c r="A199" s="32" t="s">
        <v>108</v>
      </c>
      <c r="B199" s="33">
        <f>(8637-8109)/8109</f>
        <v>6.5112837587865333E-2</v>
      </c>
      <c r="C199" s="33">
        <f t="shared" ref="C199:H208" si="37">((C127-B127)/B127)</f>
        <v>4.978580525645479E-2</v>
      </c>
      <c r="D199" s="33">
        <f t="shared" si="37"/>
        <v>6.4740266901952129E-2</v>
      </c>
      <c r="E199" s="33">
        <f t="shared" si="37"/>
        <v>0.11176714315309716</v>
      </c>
      <c r="F199" s="33">
        <f t="shared" si="37"/>
        <v>8.7114506661697566E-2</v>
      </c>
      <c r="G199" s="33">
        <f t="shared" si="37"/>
        <v>-5.3651011312992804E-2</v>
      </c>
      <c r="H199" s="33">
        <f t="shared" si="37"/>
        <v>-0.99058141641007069</v>
      </c>
      <c r="I199" s="33">
        <v>-0.03</v>
      </c>
    </row>
    <row r="200" spans="1:9" x14ac:dyDescent="0.3">
      <c r="A200" s="32" t="s">
        <v>109</v>
      </c>
      <c r="B200" s="33">
        <f>(1631-1670)/1670</f>
        <v>-2.3353293413173652E-2</v>
      </c>
      <c r="C200" s="33">
        <f t="shared" si="37"/>
        <v>-8.2771305947271612E-2</v>
      </c>
      <c r="D200" s="33">
        <f t="shared" si="37"/>
        <v>-4.7459893048128345E-2</v>
      </c>
      <c r="E200" s="33">
        <f t="shared" si="37"/>
        <v>-2.0350877192982456E-2</v>
      </c>
      <c r="F200" s="33">
        <f t="shared" si="37"/>
        <v>2.2922636103151862E-2</v>
      </c>
      <c r="G200" s="33">
        <f t="shared" si="37"/>
        <v>-8.6134453781512604E-2</v>
      </c>
      <c r="H200" s="33">
        <f t="shared" si="37"/>
        <v>-0.97777777777777775</v>
      </c>
      <c r="I200" s="33">
        <v>-0.16</v>
      </c>
    </row>
    <row r="201" spans="1:9" x14ac:dyDescent="0.3">
      <c r="A201" s="32" t="s">
        <v>116</v>
      </c>
      <c r="B201" s="33">
        <f>(2015-1812)/1812</f>
        <v>0.1120309050772627</v>
      </c>
      <c r="C201" s="33">
        <f t="shared" si="37"/>
        <v>-3.6228287841191066E-2</v>
      </c>
      <c r="D201" s="33">
        <f t="shared" si="37"/>
        <v>0.12770339855818744</v>
      </c>
      <c r="E201" s="33">
        <f t="shared" si="37"/>
        <v>-8.6757990867579904E-2</v>
      </c>
      <c r="F201" s="33">
        <f t="shared" si="37"/>
        <v>-0.92949999999999999</v>
      </c>
      <c r="G201" s="33">
        <f t="shared" si="37"/>
        <v>-0.22695035460992907</v>
      </c>
      <c r="H201" s="33">
        <f t="shared" si="37"/>
        <v>-0.21100917431192662</v>
      </c>
      <c r="I201" s="33">
        <v>0.42</v>
      </c>
    </row>
    <row r="202" spans="1:9" x14ac:dyDescent="0.3">
      <c r="A202" s="38" t="s">
        <v>117</v>
      </c>
      <c r="B202" s="33">
        <f>((-82)-3)/3</f>
        <v>-28.333333333333332</v>
      </c>
      <c r="C202" s="33">
        <f t="shared" si="37"/>
        <v>4.878048780487805E-2</v>
      </c>
      <c r="D202" s="33">
        <f t="shared" si="37"/>
        <v>-1.8720930232558139</v>
      </c>
      <c r="E202" s="33">
        <f t="shared" si="37"/>
        <v>-0.65333333333333332</v>
      </c>
      <c r="F202" s="33">
        <f t="shared" si="37"/>
        <v>-1.2692307692307692</v>
      </c>
      <c r="G202" s="33">
        <f t="shared" si="37"/>
        <v>0.5714285714285714</v>
      </c>
      <c r="H202" s="33">
        <f t="shared" si="37"/>
        <v>-4.6363636363636367</v>
      </c>
      <c r="I202" s="33">
        <v>0</v>
      </c>
    </row>
    <row r="203" spans="1:9" x14ac:dyDescent="0.3">
      <c r="A203" s="39" t="s">
        <v>118</v>
      </c>
      <c r="B203" s="40">
        <f>(30601-27799)/27799</f>
        <v>0.10079499262563402</v>
      </c>
      <c r="C203" s="40">
        <f t="shared" si="37"/>
        <v>5.8004640371229696E-2</v>
      </c>
      <c r="D203" s="40">
        <f t="shared" si="37"/>
        <v>6.0971089696071165E-2</v>
      </c>
      <c r="E203" s="40">
        <f t="shared" si="37"/>
        <v>5.9592430858806403E-2</v>
      </c>
      <c r="F203" s="40">
        <f t="shared" si="37"/>
        <v>7.4731433909388134E-2</v>
      </c>
      <c r="G203" s="40">
        <f t="shared" si="37"/>
        <v>-4.3817266150267146E-2</v>
      </c>
      <c r="H203" s="40">
        <f t="shared" si="37"/>
        <v>0.1907600994572628</v>
      </c>
      <c r="I203" s="40">
        <v>0.06</v>
      </c>
    </row>
  </sheetData>
  <pageMargins left="0.7" right="0.7" top="0.75" bottom="0.75" header="0.511811023622047" footer="0.511811023622047"/>
  <pageSetup paperSize="9" orientation="portrait" horizontalDpi="300" verticalDpi="30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70"/>
  <sheetViews>
    <sheetView tabSelected="1" zoomScale="85" zoomScaleNormal="85" workbookViewId="0">
      <selection activeCell="O1" sqref="O1"/>
    </sheetView>
  </sheetViews>
  <sheetFormatPr defaultColWidth="8.77734375" defaultRowHeight="14.4" x14ac:dyDescent="0.3"/>
  <cols>
    <col min="1" max="1" width="48.77734375" customWidth="1"/>
    <col min="2" max="9" width="11.77734375" customWidth="1"/>
    <col min="10" max="10" width="17.88671875" customWidth="1"/>
    <col min="11" max="11" width="14.77734375" customWidth="1"/>
    <col min="12" max="12" width="17.88671875" customWidth="1"/>
    <col min="13" max="14" width="16.77734375" customWidth="1"/>
    <col min="15" max="15" width="16.88671875" customWidth="1"/>
  </cols>
  <sheetData>
    <row r="1" spans="1:15" ht="60" customHeight="1" x14ac:dyDescent="0.3">
      <c r="A1" s="5" t="s">
        <v>5</v>
      </c>
      <c r="B1" s="6">
        <f t="shared" ref="B1:H1" si="0">+C1-1</f>
        <v>2015</v>
      </c>
      <c r="C1" s="6">
        <f t="shared" si="0"/>
        <v>2016</v>
      </c>
      <c r="D1" s="6">
        <f t="shared" si="0"/>
        <v>2017</v>
      </c>
      <c r="E1" s="6">
        <f t="shared" si="0"/>
        <v>2018</v>
      </c>
      <c r="F1" s="6">
        <f t="shared" si="0"/>
        <v>2019</v>
      </c>
      <c r="G1" s="6">
        <f t="shared" si="0"/>
        <v>2020</v>
      </c>
      <c r="H1" s="6">
        <f t="shared" si="0"/>
        <v>2021</v>
      </c>
      <c r="I1" s="6">
        <v>2022</v>
      </c>
      <c r="J1" s="41">
        <f>+I1+1</f>
        <v>2023</v>
      </c>
      <c r="K1" s="41">
        <f>+J1+1</f>
        <v>2024</v>
      </c>
      <c r="L1" s="41">
        <f>+K1+1</f>
        <v>2025</v>
      </c>
      <c r="M1" s="41">
        <f>+L1+1</f>
        <v>2026</v>
      </c>
      <c r="N1" s="41">
        <f>+M1+1</f>
        <v>2027</v>
      </c>
    </row>
    <row r="2" spans="1:15" x14ac:dyDescent="0.3">
      <c r="A2" s="42" t="s">
        <v>132</v>
      </c>
      <c r="B2" s="42"/>
      <c r="C2" s="42"/>
      <c r="D2" s="42"/>
      <c r="E2" s="42"/>
      <c r="F2" s="42"/>
      <c r="G2" s="42"/>
      <c r="H2" s="42"/>
      <c r="I2" s="42"/>
      <c r="J2" s="41"/>
      <c r="K2" s="41"/>
      <c r="L2" s="41"/>
      <c r="M2" s="41"/>
      <c r="N2" s="41"/>
      <c r="O2" t="s">
        <v>145</v>
      </c>
    </row>
    <row r="3" spans="1:15" x14ac:dyDescent="0.3">
      <c r="A3" s="11" t="s">
        <v>133</v>
      </c>
      <c r="B3" s="7">
        <v>30601</v>
      </c>
      <c r="C3" s="7">
        <v>32376</v>
      </c>
      <c r="D3" s="7">
        <v>34350</v>
      </c>
      <c r="E3" s="7">
        <f>36397</f>
        <v>36397</v>
      </c>
      <c r="F3" s="7">
        <v>39117</v>
      </c>
      <c r="G3" s="7">
        <f>37403</f>
        <v>37403</v>
      </c>
      <c r="H3" s="7">
        <v>44538</v>
      </c>
      <c r="I3" s="7">
        <v>46710</v>
      </c>
      <c r="J3" s="7">
        <f>I3*(J4+1)</f>
        <v>55117.799999999996</v>
      </c>
      <c r="K3" s="7">
        <f>J3*(K4+1)</f>
        <v>59379.331540144114</v>
      </c>
      <c r="L3" s="7">
        <f>K3*(L4+1)</f>
        <v>64137.297743340008</v>
      </c>
      <c r="M3" s="7">
        <f>L3*(M4+1)</f>
        <v>69437.883818341492</v>
      </c>
      <c r="N3" s="7">
        <f>M3*(N4+1)</f>
        <v>75373.080524875666</v>
      </c>
      <c r="O3" s="55" t="s">
        <v>146</v>
      </c>
    </row>
    <row r="4" spans="1:15" x14ac:dyDescent="0.3">
      <c r="A4" s="43" t="s">
        <v>134</v>
      </c>
      <c r="B4" s="44">
        <v>0.1</v>
      </c>
      <c r="C4" s="44">
        <f>(C3-B3)/C3</f>
        <v>5.4824561403508769E-2</v>
      </c>
      <c r="D4" s="44">
        <v>0.06</v>
      </c>
      <c r="E4" s="44">
        <v>0.06</v>
      </c>
      <c r="F4" s="44">
        <f>(F3-E3)/F3</f>
        <v>6.9534984789222071E-2</v>
      </c>
      <c r="G4" s="44">
        <f>(G3-F3)/G3</f>
        <v>-4.5825201187070556E-2</v>
      </c>
      <c r="H4" s="44">
        <v>0.19</v>
      </c>
      <c r="I4" s="44">
        <v>0.05</v>
      </c>
      <c r="J4" s="44">
        <v>0.18</v>
      </c>
      <c r="K4" s="44">
        <f>(SUM(C4:J4))/8</f>
        <v>7.7316793125707536E-2</v>
      </c>
      <c r="L4" s="44">
        <f>(SUM(D4:K4))/8</f>
        <v>8.0128322090982376E-2</v>
      </c>
      <c r="M4" s="44">
        <f>(SUM(E4:L4))/8</f>
        <v>8.2644362352355172E-2</v>
      </c>
      <c r="N4" s="44">
        <f>(SUM(F4:M4))/8</f>
        <v>8.5474907646399576E-2</v>
      </c>
    </row>
    <row r="5" spans="1:15" x14ac:dyDescent="0.3">
      <c r="A5" s="11" t="s">
        <v>135</v>
      </c>
      <c r="B5">
        <f t="shared" ref="B5:I5" si="1">B11+B8</f>
        <v>4839</v>
      </c>
      <c r="C5">
        <f t="shared" si="1"/>
        <v>5291</v>
      </c>
      <c r="D5">
        <f t="shared" si="1"/>
        <v>5651</v>
      </c>
      <c r="E5">
        <f t="shared" si="1"/>
        <v>5126</v>
      </c>
      <c r="F5">
        <f t="shared" si="1"/>
        <v>5555</v>
      </c>
      <c r="G5">
        <f t="shared" si="1"/>
        <v>3697</v>
      </c>
      <c r="H5">
        <f t="shared" si="1"/>
        <v>7667</v>
      </c>
      <c r="I5">
        <f t="shared" si="1"/>
        <v>7573</v>
      </c>
      <c r="J5" s="45">
        <f>0.9876*I5</f>
        <v>7479.0947999999999</v>
      </c>
      <c r="K5" s="45">
        <f>0.9876*J5</f>
        <v>7386.3540244799997</v>
      </c>
      <c r="L5" s="45">
        <f>0.9876*K5</f>
        <v>7294.7632345764478</v>
      </c>
      <c r="M5" s="45">
        <f>0.9876*L5</f>
        <v>7204.3081704676997</v>
      </c>
      <c r="N5" s="45">
        <f>0.9876*M5</f>
        <v>7114.9747491539001</v>
      </c>
      <c r="O5" s="55" t="s">
        <v>146</v>
      </c>
    </row>
    <row r="6" spans="1:15" x14ac:dyDescent="0.3">
      <c r="A6" s="43" t="s">
        <v>134</v>
      </c>
      <c r="B6" s="44">
        <f>(4839-4095)/4839</f>
        <v>0.15375077495350278</v>
      </c>
      <c r="C6" s="44">
        <f t="shared" ref="C6:N6" si="2">(C5-B5)/C5</f>
        <v>8.5428085428085429E-2</v>
      </c>
      <c r="D6" s="44">
        <f t="shared" si="2"/>
        <v>6.3705538842682707E-2</v>
      </c>
      <c r="E6" s="44">
        <f t="shared" si="2"/>
        <v>-0.10241904018728053</v>
      </c>
      <c r="F6" s="44">
        <f t="shared" si="2"/>
        <v>7.7227722772277227E-2</v>
      </c>
      <c r="G6" s="44">
        <f t="shared" si="2"/>
        <v>-0.50256965106843388</v>
      </c>
      <c r="H6" s="44">
        <f t="shared" si="2"/>
        <v>0.51780357375766273</v>
      </c>
      <c r="I6" s="44">
        <f t="shared" si="2"/>
        <v>-1.2412518156609006E-2</v>
      </c>
      <c r="J6" s="44">
        <f t="shared" si="2"/>
        <v>-1.2555690562980984E-2</v>
      </c>
      <c r="K6" s="44">
        <f t="shared" si="2"/>
        <v>-1.2555690562980988E-2</v>
      </c>
      <c r="L6" s="44">
        <f t="shared" si="2"/>
        <v>-1.2555690562980953E-2</v>
      </c>
      <c r="M6" s="44">
        <f t="shared" si="2"/>
        <v>-1.2555690562980977E-2</v>
      </c>
      <c r="N6" s="44">
        <f t="shared" si="2"/>
        <v>-1.2555690562980981E-2</v>
      </c>
    </row>
    <row r="7" spans="1:15" x14ac:dyDescent="0.3">
      <c r="A7" s="43" t="s">
        <v>136</v>
      </c>
      <c r="B7" s="44">
        <f t="shared" ref="B7:N7" si="3">B5/B3</f>
        <v>0.15813208718669325</v>
      </c>
      <c r="C7" s="44">
        <f t="shared" si="3"/>
        <v>0.16342352359772672</v>
      </c>
      <c r="D7" s="44">
        <f t="shared" si="3"/>
        <v>0.16451237263464338</v>
      </c>
      <c r="E7" s="44">
        <f t="shared" si="3"/>
        <v>0.14083578316894249</v>
      </c>
      <c r="F7" s="44">
        <f t="shared" si="3"/>
        <v>0.14200986783240024</v>
      </c>
      <c r="G7" s="44">
        <f t="shared" si="3"/>
        <v>9.8842338849824879E-2</v>
      </c>
      <c r="H7" s="44">
        <f t="shared" si="3"/>
        <v>0.17214513449189456</v>
      </c>
      <c r="I7" s="44">
        <f t="shared" si="3"/>
        <v>0.16212802397773496</v>
      </c>
      <c r="J7" s="44">
        <f t="shared" si="3"/>
        <v>0.13569291227153479</v>
      </c>
      <c r="K7" s="44">
        <f t="shared" si="3"/>
        <v>0.12439267726492283</v>
      </c>
      <c r="L7" s="44">
        <f t="shared" si="3"/>
        <v>0.11373667883184138</v>
      </c>
      <c r="M7" s="44">
        <f t="shared" si="3"/>
        <v>0.10375183940390673</v>
      </c>
      <c r="N7" s="44">
        <f t="shared" si="3"/>
        <v>9.4396762074832774E-2</v>
      </c>
    </row>
    <row r="8" spans="1:15" x14ac:dyDescent="0.3">
      <c r="A8" s="11" t="s">
        <v>137</v>
      </c>
      <c r="B8">
        <v>606</v>
      </c>
      <c r="C8">
        <v>649</v>
      </c>
      <c r="D8">
        <v>706</v>
      </c>
      <c r="E8">
        <v>747</v>
      </c>
      <c r="F8">
        <v>705</v>
      </c>
      <c r="G8">
        <v>721</v>
      </c>
      <c r="H8">
        <v>744</v>
      </c>
      <c r="I8">
        <v>717</v>
      </c>
      <c r="J8" s="45">
        <f>I8*0.96</f>
        <v>688.31999999999994</v>
      </c>
      <c r="K8" s="45">
        <f>J8*0.96</f>
        <v>660.78719999999987</v>
      </c>
      <c r="L8" s="45">
        <f>K8*0.96</f>
        <v>634.35571199999981</v>
      </c>
      <c r="M8" s="45">
        <f>L8*0.96</f>
        <v>608.98148351999976</v>
      </c>
      <c r="N8" s="45">
        <f>M8*0.96</f>
        <v>584.62222417919975</v>
      </c>
      <c r="O8" s="55" t="s">
        <v>146</v>
      </c>
    </row>
    <row r="9" spans="1:15" x14ac:dyDescent="0.3">
      <c r="A9" s="43" t="s">
        <v>134</v>
      </c>
      <c r="B9" s="44">
        <f>(606-518)/606</f>
        <v>0.14521452145214522</v>
      </c>
      <c r="C9" s="44">
        <f t="shared" ref="C9:N9" si="4">(C8-B8)/C8</f>
        <v>6.6255778120184905E-2</v>
      </c>
      <c r="D9" s="44">
        <f t="shared" si="4"/>
        <v>8.0736543909348438E-2</v>
      </c>
      <c r="E9" s="44">
        <f t="shared" si="4"/>
        <v>5.4886211512717539E-2</v>
      </c>
      <c r="F9" s="44">
        <f t="shared" si="4"/>
        <v>-5.9574468085106386E-2</v>
      </c>
      <c r="G9" s="44">
        <f t="shared" si="4"/>
        <v>2.2191400832177532E-2</v>
      </c>
      <c r="H9" s="44">
        <f t="shared" si="4"/>
        <v>3.0913978494623656E-2</v>
      </c>
      <c r="I9" s="44">
        <f t="shared" si="4"/>
        <v>-3.7656903765690378E-2</v>
      </c>
      <c r="J9" s="44">
        <f t="shared" si="4"/>
        <v>-4.1666666666666761E-2</v>
      </c>
      <c r="K9" s="44">
        <f t="shared" si="4"/>
        <v>-4.1666666666666775E-2</v>
      </c>
      <c r="L9" s="44">
        <f t="shared" si="4"/>
        <v>-4.1666666666666768E-2</v>
      </c>
      <c r="M9" s="44">
        <f t="shared" si="4"/>
        <v>-4.1666666666666775E-2</v>
      </c>
      <c r="N9" s="44">
        <f t="shared" si="4"/>
        <v>-4.1666666666666699E-2</v>
      </c>
    </row>
    <row r="10" spans="1:15" x14ac:dyDescent="0.3">
      <c r="A10" s="43" t="s">
        <v>138</v>
      </c>
      <c r="B10" s="44">
        <f t="shared" ref="B10:N10" si="5">B8/B3</f>
        <v>1.9803274402797295E-2</v>
      </c>
      <c r="C10" s="44">
        <f t="shared" si="5"/>
        <v>2.0045712873733631E-2</v>
      </c>
      <c r="D10" s="44">
        <f t="shared" si="5"/>
        <v>2.0553129548762736E-2</v>
      </c>
      <c r="E10" s="44">
        <f t="shared" si="5"/>
        <v>2.0523669533203285E-2</v>
      </c>
      <c r="F10" s="44">
        <f t="shared" si="5"/>
        <v>1.8022854513382928E-2</v>
      </c>
      <c r="G10" s="44">
        <f t="shared" si="5"/>
        <v>1.9276528620698875E-2</v>
      </c>
      <c r="H10" s="44">
        <f t="shared" si="5"/>
        <v>1.6704836319547355E-2</v>
      </c>
      <c r="I10" s="44">
        <f t="shared" si="5"/>
        <v>1.5350032113037893E-2</v>
      </c>
      <c r="J10" s="44">
        <f t="shared" si="5"/>
        <v>1.2488161719081676E-2</v>
      </c>
      <c r="K10" s="44">
        <f t="shared" si="5"/>
        <v>1.1128235749054647E-2</v>
      </c>
      <c r="L10" s="44">
        <f t="shared" si="5"/>
        <v>9.8905899425092494E-3</v>
      </c>
      <c r="M10" s="44">
        <f t="shared" si="5"/>
        <v>8.7701619063330662E-3</v>
      </c>
      <c r="N10" s="44">
        <f t="shared" si="5"/>
        <v>7.7563796000915024E-3</v>
      </c>
    </row>
    <row r="11" spans="1:15" x14ac:dyDescent="0.3">
      <c r="A11" s="11" t="s">
        <v>139</v>
      </c>
      <c r="B11">
        <v>4233</v>
      </c>
      <c r="C11">
        <v>4642</v>
      </c>
      <c r="D11">
        <v>4945</v>
      </c>
      <c r="E11">
        <v>4379</v>
      </c>
      <c r="F11">
        <v>4850</v>
      </c>
      <c r="G11">
        <v>2976</v>
      </c>
      <c r="H11">
        <v>6923</v>
      </c>
      <c r="I11">
        <v>6856</v>
      </c>
      <c r="J11">
        <v>6789</v>
      </c>
      <c r="K11">
        <v>6722</v>
      </c>
      <c r="L11">
        <v>6655</v>
      </c>
      <c r="M11">
        <v>6588</v>
      </c>
      <c r="N11">
        <v>6521</v>
      </c>
      <c r="O11" s="55" t="s">
        <v>146</v>
      </c>
    </row>
    <row r="12" spans="1:15" x14ac:dyDescent="0.3">
      <c r="A12" s="43" t="s">
        <v>134</v>
      </c>
      <c r="B12" s="44">
        <f>(4233-3577)/4233</f>
        <v>0.15497283250649657</v>
      </c>
      <c r="C12" s="44">
        <f t="shared" ref="C12:N12" si="6">(C11-B11)/C11</f>
        <v>8.8108573890564409E-2</v>
      </c>
      <c r="D12" s="44">
        <f t="shared" si="6"/>
        <v>6.127401415571284E-2</v>
      </c>
      <c r="E12" s="44">
        <f t="shared" si="6"/>
        <v>-0.12925325416761818</v>
      </c>
      <c r="F12" s="44">
        <f t="shared" si="6"/>
        <v>9.7113402061855675E-2</v>
      </c>
      <c r="G12" s="44">
        <f t="shared" si="6"/>
        <v>-0.62970430107526887</v>
      </c>
      <c r="H12" s="44">
        <f t="shared" si="6"/>
        <v>0.57012855698396647</v>
      </c>
      <c r="I12" s="44">
        <f t="shared" si="6"/>
        <v>-9.7724620770128362E-3</v>
      </c>
      <c r="J12" s="44">
        <f t="shared" si="6"/>
        <v>-9.8689055825600235E-3</v>
      </c>
      <c r="K12" s="44">
        <f t="shared" si="6"/>
        <v>-9.9672716453436481E-3</v>
      </c>
      <c r="L12" s="44">
        <f t="shared" si="6"/>
        <v>-1.0067618332081142E-2</v>
      </c>
      <c r="M12" s="44">
        <f t="shared" si="6"/>
        <v>-1.0170006071645416E-2</v>
      </c>
      <c r="N12" s="44">
        <f t="shared" si="6"/>
        <v>-1.027449777641466E-2</v>
      </c>
    </row>
    <row r="13" spans="1:15" x14ac:dyDescent="0.3">
      <c r="A13" s="43" t="s">
        <v>136</v>
      </c>
      <c r="B13" s="44">
        <f t="shared" ref="B13:N13" si="7">B11/B3</f>
        <v>0.13832881278389594</v>
      </c>
      <c r="C13" s="44">
        <f t="shared" si="7"/>
        <v>0.14337781072399308</v>
      </c>
      <c r="D13" s="44">
        <f t="shared" si="7"/>
        <v>0.14395924308588065</v>
      </c>
      <c r="E13" s="44">
        <f t="shared" si="7"/>
        <v>0.12031211363573921</v>
      </c>
      <c r="F13" s="44">
        <f t="shared" si="7"/>
        <v>0.12398701331901731</v>
      </c>
      <c r="G13" s="44">
        <f t="shared" si="7"/>
        <v>7.9565810229126011E-2</v>
      </c>
      <c r="H13" s="44">
        <f t="shared" si="7"/>
        <v>0.1554402981723472</v>
      </c>
      <c r="I13" s="44">
        <f t="shared" si="7"/>
        <v>0.14677799186469706</v>
      </c>
      <c r="J13" s="44">
        <f t="shared" si="7"/>
        <v>0.12317255042835527</v>
      </c>
      <c r="K13" s="44">
        <f t="shared" si="7"/>
        <v>0.11320437306464978</v>
      </c>
      <c r="L13" s="44">
        <f t="shared" si="7"/>
        <v>0.10376177722097829</v>
      </c>
      <c r="M13" s="44">
        <f t="shared" si="7"/>
        <v>9.4876163237276392E-2</v>
      </c>
      <c r="N13" s="44">
        <f t="shared" si="7"/>
        <v>8.6516299381552406E-2</v>
      </c>
    </row>
    <row r="14" spans="1:15" x14ac:dyDescent="0.3">
      <c r="A14" s="11" t="s">
        <v>140</v>
      </c>
      <c r="B14">
        <v>3011</v>
      </c>
      <c r="C14">
        <v>3520</v>
      </c>
      <c r="D14">
        <v>3989</v>
      </c>
      <c r="E14">
        <v>4454</v>
      </c>
      <c r="F14">
        <v>4744</v>
      </c>
      <c r="G14">
        <v>4866</v>
      </c>
      <c r="H14">
        <v>4904</v>
      </c>
      <c r="I14">
        <v>4791</v>
      </c>
      <c r="J14">
        <v>4678</v>
      </c>
      <c r="K14">
        <v>4565</v>
      </c>
      <c r="L14">
        <v>4452</v>
      </c>
      <c r="M14">
        <v>4339</v>
      </c>
      <c r="N14">
        <v>4226</v>
      </c>
      <c r="O14" s="55" t="s">
        <v>146</v>
      </c>
    </row>
    <row r="15" spans="1:15" x14ac:dyDescent="0.3">
      <c r="A15" s="43" t="s">
        <v>134</v>
      </c>
      <c r="B15" s="44">
        <f>(3011-2834)/3011</f>
        <v>5.878445699103288E-2</v>
      </c>
      <c r="C15" s="44">
        <f t="shared" ref="C15:N15" si="8">(C14-B14)/C14</f>
        <v>0.14460227272727272</v>
      </c>
      <c r="D15" s="44">
        <f t="shared" si="8"/>
        <v>0.11757332664828278</v>
      </c>
      <c r="E15" s="44">
        <f t="shared" si="8"/>
        <v>0.10440053884149079</v>
      </c>
      <c r="F15" s="44">
        <f t="shared" si="8"/>
        <v>6.112984822934233E-2</v>
      </c>
      <c r="G15" s="44">
        <f t="shared" si="8"/>
        <v>2.5071927661323469E-2</v>
      </c>
      <c r="H15" s="44">
        <f t="shared" si="8"/>
        <v>7.7487765089722677E-3</v>
      </c>
      <c r="I15" s="44">
        <f t="shared" si="8"/>
        <v>-2.3585890210811939E-2</v>
      </c>
      <c r="J15" s="44">
        <f t="shared" si="8"/>
        <v>-2.4155622060709706E-2</v>
      </c>
      <c r="K15" s="44">
        <f t="shared" si="8"/>
        <v>-2.475355969331873E-2</v>
      </c>
      <c r="L15" s="44">
        <f t="shared" si="8"/>
        <v>-2.5381850853548965E-2</v>
      </c>
      <c r="M15" s="44">
        <f t="shared" si="8"/>
        <v>-2.6042867020050701E-2</v>
      </c>
      <c r="N15" s="44">
        <f t="shared" si="8"/>
        <v>-2.6739233317557974E-2</v>
      </c>
    </row>
    <row r="16" spans="1:15" x14ac:dyDescent="0.3">
      <c r="A16" s="43" t="s">
        <v>138</v>
      </c>
      <c r="B16" s="44">
        <f t="shared" ref="B16:N16" si="9">B14/B3</f>
        <v>9.8395477271984569E-2</v>
      </c>
      <c r="C16" s="44">
        <f t="shared" si="9"/>
        <v>0.10872251050160613</v>
      </c>
      <c r="D16" s="44">
        <f t="shared" si="9"/>
        <v>0.11612809315866085</v>
      </c>
      <c r="E16" s="44">
        <f t="shared" si="9"/>
        <v>0.12237272302662307</v>
      </c>
      <c r="F16" s="44">
        <f t="shared" si="9"/>
        <v>0.1212771940588491</v>
      </c>
      <c r="G16" s="44">
        <f t="shared" si="9"/>
        <v>0.13009651632222013</v>
      </c>
      <c r="H16" s="44">
        <f t="shared" si="9"/>
        <v>0.11010822219228523</v>
      </c>
      <c r="I16" s="44">
        <f t="shared" si="9"/>
        <v>0.10256904303147078</v>
      </c>
      <c r="J16" s="44">
        <f t="shared" si="9"/>
        <v>8.4872763426697015E-2</v>
      </c>
      <c r="K16" s="44">
        <f t="shared" si="9"/>
        <v>7.6878602058929824E-2</v>
      </c>
      <c r="L16" s="44">
        <f t="shared" si="9"/>
        <v>6.9413588608233712E-2</v>
      </c>
      <c r="M16" s="44">
        <f t="shared" si="9"/>
        <v>6.2487503382899552E-2</v>
      </c>
      <c r="N16" s="44">
        <f t="shared" si="9"/>
        <v>5.606776279503764E-2</v>
      </c>
    </row>
    <row r="17" spans="1:18" x14ac:dyDescent="0.3">
      <c r="A17" s="46" t="str">
        <f>+Historicals!A107</f>
        <v>North America</v>
      </c>
      <c r="B17" s="46"/>
      <c r="C17" s="46"/>
      <c r="D17" s="46"/>
      <c r="E17" s="46"/>
      <c r="F17" s="46"/>
      <c r="G17" s="46"/>
      <c r="H17" s="46"/>
      <c r="I17" s="46"/>
      <c r="J17" s="41"/>
      <c r="K17" s="41"/>
      <c r="L17" s="41"/>
      <c r="M17" s="41"/>
      <c r="N17" s="41"/>
      <c r="O17" t="s">
        <v>148</v>
      </c>
    </row>
    <row r="18" spans="1:18" x14ac:dyDescent="0.3">
      <c r="A18" s="11" t="s">
        <v>141</v>
      </c>
      <c r="B18" s="11">
        <f>+Historicals!B107</f>
        <v>13740</v>
      </c>
      <c r="C18" s="11">
        <f>+Historicals!C107</f>
        <v>14764</v>
      </c>
      <c r="D18" s="11">
        <f>+Historicals!D107</f>
        <v>15216</v>
      </c>
      <c r="E18" s="11">
        <f>+Historicals!E107</f>
        <v>14855</v>
      </c>
      <c r="F18" s="11">
        <f>+Historicals!F107</f>
        <v>15902</v>
      </c>
      <c r="G18" s="11">
        <f>+Historicals!G107</f>
        <v>14484</v>
      </c>
      <c r="H18" s="11">
        <f>+Historicals!H107</f>
        <v>17179</v>
      </c>
      <c r="I18" s="11">
        <f>+Historicals!I107</f>
        <v>18353</v>
      </c>
      <c r="J18" s="11">
        <f>I18*(J19+1)</f>
        <v>19080.544335668696</v>
      </c>
      <c r="K18" s="11">
        <f>J18*(K19+1)</f>
        <v>19931.477953987363</v>
      </c>
      <c r="L18" s="11">
        <f>K18*(L19+1)</f>
        <v>20745.791946395926</v>
      </c>
      <c r="M18" s="11">
        <f>L18*(M19+1)</f>
        <v>21619.931627324786</v>
      </c>
      <c r="N18" s="11">
        <f>M18*(N19+1)</f>
        <v>22708.892055022796</v>
      </c>
      <c r="O18" s="55" t="s">
        <v>147</v>
      </c>
    </row>
    <row r="19" spans="1:18" x14ac:dyDescent="0.3">
      <c r="A19" s="47" t="s">
        <v>134</v>
      </c>
      <c r="B19" s="48" t="str">
        <f t="shared" ref="B19:I19" si="10">+IFERROR(B18/A18-1,"nm")</f>
        <v>nm</v>
      </c>
      <c r="C19" s="48">
        <f t="shared" si="10"/>
        <v>7.4526928675400228E-2</v>
      </c>
      <c r="D19" s="48">
        <f t="shared" si="10"/>
        <v>3.0615009482525046E-2</v>
      </c>
      <c r="E19" s="48">
        <f t="shared" si="10"/>
        <v>-2.372502628811779E-2</v>
      </c>
      <c r="F19" s="48">
        <f t="shared" si="10"/>
        <v>7.0481319421070276E-2</v>
      </c>
      <c r="G19" s="48">
        <f t="shared" si="10"/>
        <v>-8.9171173437303519E-2</v>
      </c>
      <c r="H19" s="48">
        <f t="shared" si="10"/>
        <v>0.18606738470035911</v>
      </c>
      <c r="I19" s="48">
        <f t="shared" si="10"/>
        <v>6.8339251411607238E-2</v>
      </c>
      <c r="J19" s="44">
        <f>(SUM(B19:I19))/8</f>
        <v>3.9641711745692573E-2</v>
      </c>
      <c r="K19" s="44">
        <f>(SUM(C19:J19))/8</f>
        <v>4.4596925713904147E-2</v>
      </c>
      <c r="L19" s="44">
        <f>(SUM(D19:K19))/8</f>
        <v>4.0855675343717139E-2</v>
      </c>
      <c r="M19" s="44">
        <f>(SUM(E19:L19))/8</f>
        <v>4.2135758576366152E-2</v>
      </c>
      <c r="N19" s="44">
        <f>(SUM(F19:M19))/8</f>
        <v>5.0368356684426643E-2</v>
      </c>
      <c r="O19" s="44"/>
      <c r="P19" s="44"/>
      <c r="Q19" s="44"/>
      <c r="R19" s="44"/>
    </row>
    <row r="20" spans="1:18" x14ac:dyDescent="0.3">
      <c r="A20" s="49" t="s">
        <v>107</v>
      </c>
      <c r="B20" s="7">
        <f>+Historicals!B108</f>
        <v>8506</v>
      </c>
      <c r="C20" s="7">
        <f>+Historicals!C108</f>
        <v>9299</v>
      </c>
      <c r="D20" s="7">
        <f>+Historicals!D108</f>
        <v>9684</v>
      </c>
      <c r="E20" s="7">
        <f>+Historicals!E108</f>
        <v>9322</v>
      </c>
      <c r="F20" s="7">
        <f>+Historicals!F108</f>
        <v>10045</v>
      </c>
      <c r="G20" s="7">
        <f>+Historicals!G108</f>
        <v>9329</v>
      </c>
      <c r="H20" s="7">
        <f>+Historicals!H108</f>
        <v>11644</v>
      </c>
      <c r="I20" s="7">
        <f>+Historicals!I108</f>
        <v>12228</v>
      </c>
      <c r="J20" s="50">
        <f>I20*(J21+1)</f>
        <v>14918.16</v>
      </c>
      <c r="K20" s="50">
        <f>J20*(K21+1)</f>
        <v>18349.336800000001</v>
      </c>
      <c r="L20" s="50">
        <f>K20*(L21+1)</f>
        <v>22753.177632000003</v>
      </c>
      <c r="M20" s="50">
        <f>L20*(M21+1)</f>
        <v>28441.472040000004</v>
      </c>
      <c r="N20" s="50">
        <f>M20*(N21+1)</f>
        <v>35836.254770400003</v>
      </c>
    </row>
    <row r="21" spans="1:18" x14ac:dyDescent="0.3">
      <c r="A21" s="47" t="s">
        <v>134</v>
      </c>
      <c r="B21" s="48" t="str">
        <f t="shared" ref="B21:I21" si="11">+IFERROR(B20/A20-1,"nm")</f>
        <v>nm</v>
      </c>
      <c r="C21" s="48">
        <f t="shared" si="11"/>
        <v>9.3228309428638578E-2</v>
      </c>
      <c r="D21" s="48">
        <f t="shared" si="11"/>
        <v>4.1402301322722934E-2</v>
      </c>
      <c r="E21" s="48">
        <f t="shared" si="11"/>
        <v>-3.7381247418422192E-2</v>
      </c>
      <c r="F21" s="48">
        <f t="shared" si="11"/>
        <v>7.755846384895948E-2</v>
      </c>
      <c r="G21" s="48">
        <f t="shared" si="11"/>
        <v>-7.1279243404678949E-2</v>
      </c>
      <c r="H21" s="48">
        <f t="shared" si="11"/>
        <v>0.24815092721620746</v>
      </c>
      <c r="I21" s="48">
        <f t="shared" si="11"/>
        <v>5.0154586052902683E-2</v>
      </c>
      <c r="J21" s="44">
        <v>0.22</v>
      </c>
      <c r="K21" s="44">
        <v>0.23</v>
      </c>
      <c r="L21" s="44">
        <v>0.24</v>
      </c>
      <c r="M21" s="44">
        <v>0.25</v>
      </c>
      <c r="N21" s="44">
        <v>0.26</v>
      </c>
    </row>
    <row r="22" spans="1:18" x14ac:dyDescent="0.3">
      <c r="A22" s="47" t="s">
        <v>142</v>
      </c>
      <c r="B22" s="48">
        <f>+Historicals!B180</f>
        <v>0.13488992661774515</v>
      </c>
      <c r="C22" s="48">
        <f>+Historicals!C180</f>
        <v>9.3228309428638606E-2</v>
      </c>
      <c r="D22" s="48">
        <f>+Historicals!D180</f>
        <v>4.1402301322722872E-2</v>
      </c>
      <c r="E22" s="48">
        <f>+Historicals!E180</f>
        <v>-3.7381247418422137E-2</v>
      </c>
      <c r="F22" s="48">
        <f>+Historicals!F180</f>
        <v>7.7558463848959452E-2</v>
      </c>
      <c r="G22" s="48">
        <f>+Historicals!G180</f>
        <v>-7.1279243404678949E-2</v>
      </c>
      <c r="H22" s="48">
        <f>+Historicals!H180</f>
        <v>0.24815092721620752</v>
      </c>
      <c r="I22" s="48">
        <f>+Historicals!I180</f>
        <v>0.05</v>
      </c>
      <c r="J22" s="44">
        <v>0.05</v>
      </c>
      <c r="K22" s="44">
        <v>0</v>
      </c>
      <c r="L22" s="44">
        <v>0</v>
      </c>
      <c r="M22" s="44">
        <v>0</v>
      </c>
      <c r="N22" s="44">
        <v>0</v>
      </c>
    </row>
    <row r="23" spans="1:18" x14ac:dyDescent="0.3">
      <c r="A23" s="47" t="s">
        <v>143</v>
      </c>
      <c r="B23" s="48" t="str">
        <f t="shared" ref="B23:I23" si="12">+IFERROR(B21-B22,"nm")</f>
        <v>nm</v>
      </c>
      <c r="C23" s="48">
        <f t="shared" si="12"/>
        <v>-2.7755575615628914E-17</v>
      </c>
      <c r="D23" s="48">
        <f t="shared" si="12"/>
        <v>6.2450045135165055E-17</v>
      </c>
      <c r="E23" s="48">
        <f t="shared" si="12"/>
        <v>-5.5511151231257827E-17</v>
      </c>
      <c r="F23" s="48">
        <f t="shared" si="12"/>
        <v>2.7755575615628914E-17</v>
      </c>
      <c r="G23" s="48">
        <f t="shared" si="12"/>
        <v>0</v>
      </c>
      <c r="H23" s="48">
        <f t="shared" si="12"/>
        <v>-5.5511151231257827E-17</v>
      </c>
      <c r="I23" s="48">
        <f t="shared" si="12"/>
        <v>1.5458605290268046E-4</v>
      </c>
      <c r="J23" s="44">
        <v>0.17</v>
      </c>
      <c r="K23" s="44">
        <f>K21-K22</f>
        <v>0.23</v>
      </c>
      <c r="L23" s="44">
        <f>L21-L22</f>
        <v>0.24</v>
      </c>
      <c r="M23" s="44">
        <f>M21-M22</f>
        <v>0.25</v>
      </c>
      <c r="N23" s="44">
        <f>N21-N22</f>
        <v>0.26</v>
      </c>
    </row>
    <row r="24" spans="1:18" x14ac:dyDescent="0.3">
      <c r="A24" s="49" t="s">
        <v>108</v>
      </c>
      <c r="B24" s="7">
        <f>+Historicals!B109</f>
        <v>4410</v>
      </c>
      <c r="C24" s="7">
        <f>+Historicals!C109</f>
        <v>4746</v>
      </c>
      <c r="D24" s="7">
        <f>+Historicals!D109</f>
        <v>4886</v>
      </c>
      <c r="E24" s="7">
        <f>+Historicals!E109</f>
        <v>4938</v>
      </c>
      <c r="F24" s="7">
        <f>+Historicals!F109</f>
        <v>5260</v>
      </c>
      <c r="G24" s="7">
        <f>+Historicals!G109</f>
        <v>4639</v>
      </c>
      <c r="H24" s="7">
        <f>+Historicals!H109</f>
        <v>5028</v>
      </c>
      <c r="I24" s="7">
        <f>+Historicals!I109</f>
        <v>5492</v>
      </c>
      <c r="J24" s="45">
        <f>I24*(J25+1)</f>
        <v>5656.4969995516385</v>
      </c>
      <c r="K24" s="45">
        <f>J24*(K25+1)</f>
        <v>5847.0990356858292</v>
      </c>
      <c r="L24" s="45">
        <f>K24*(L25+1)</f>
        <v>6013.0650378773471</v>
      </c>
      <c r="M24" s="45">
        <f>L24*(M25+1)</f>
        <v>6182.9044100508418</v>
      </c>
      <c r="N24" s="45">
        <f>M24*(N25+1)</f>
        <v>6371.1451542071918</v>
      </c>
    </row>
    <row r="25" spans="1:18" x14ac:dyDescent="0.3">
      <c r="A25" s="47" t="s">
        <v>134</v>
      </c>
      <c r="B25" s="48" t="str">
        <f t="shared" ref="B25:I25" si="13">+IFERROR(B24/A24-1,"nm")</f>
        <v>nm</v>
      </c>
      <c r="C25" s="48">
        <f t="shared" si="13"/>
        <v>7.6190476190476142E-2</v>
      </c>
      <c r="D25" s="48">
        <f t="shared" si="13"/>
        <v>2.9498525073746285E-2</v>
      </c>
      <c r="E25" s="48">
        <f t="shared" si="13"/>
        <v>1.0642652476463343E-2</v>
      </c>
      <c r="F25" s="48">
        <f t="shared" si="13"/>
        <v>6.5208586472256025E-2</v>
      </c>
      <c r="G25" s="48">
        <f t="shared" si="13"/>
        <v>-0.11806083650190113</v>
      </c>
      <c r="H25" s="48">
        <f t="shared" si="13"/>
        <v>8.3854278939426541E-2</v>
      </c>
      <c r="I25" s="48">
        <f t="shared" si="13"/>
        <v>9.2283214001591007E-2</v>
      </c>
      <c r="J25" s="44">
        <f>(SUM(B25:I25))/8</f>
        <v>2.9952112081507276E-2</v>
      </c>
      <c r="K25" s="44">
        <f>(SUM(C25:J25))/8</f>
        <v>3.3696126091695686E-2</v>
      </c>
      <c r="L25" s="44">
        <f>(SUM(D25:K25))/8</f>
        <v>2.838433232934813E-2</v>
      </c>
      <c r="M25" s="44">
        <f>(SUM(E25:L25))/8</f>
        <v>2.8245058236298359E-2</v>
      </c>
      <c r="N25" s="44">
        <f>(SUM(F25:M25))/8</f>
        <v>3.0445358956277736E-2</v>
      </c>
    </row>
    <row r="26" spans="1:18" x14ac:dyDescent="0.3">
      <c r="A26" s="47" t="s">
        <v>142</v>
      </c>
      <c r="B26" s="48">
        <f>+Historicals!B184</f>
        <v>0.15780403741999016</v>
      </c>
      <c r="C26" s="48">
        <f>+Historicals!C184</f>
        <v>7.2294280246651077E-2</v>
      </c>
      <c r="D26" s="48">
        <f>+Historicals!D184</f>
        <v>2.9545905215149711E-2</v>
      </c>
      <c r="E26" s="48">
        <f>+Historicals!E184</f>
        <v>0.13154853620955315</v>
      </c>
      <c r="F26" s="48">
        <f>+Historicals!F184</f>
        <v>7.114893617021277E-2</v>
      </c>
      <c r="G26" s="48">
        <f>+Historicals!G184</f>
        <v>-6.3721595423486418E-2</v>
      </c>
      <c r="H26" s="48">
        <f>+Historicals!H184</f>
        <v>0.18295994568906992</v>
      </c>
      <c r="I26" s="48">
        <f>+Historicals!I184</f>
        <v>0.09</v>
      </c>
      <c r="J26" s="44">
        <v>0</v>
      </c>
      <c r="K26" s="44">
        <v>0</v>
      </c>
      <c r="L26" s="44">
        <v>0</v>
      </c>
      <c r="M26" s="44">
        <v>0</v>
      </c>
      <c r="N26" s="44">
        <v>0</v>
      </c>
    </row>
    <row r="27" spans="1:18" x14ac:dyDescent="0.3">
      <c r="A27" s="47" t="s">
        <v>143</v>
      </c>
      <c r="B27" s="48" t="str">
        <f t="shared" ref="B27:I27" si="14">+IFERROR(B25-B26,"nm")</f>
        <v>nm</v>
      </c>
      <c r="C27" s="48">
        <f t="shared" si="14"/>
        <v>3.8961959438250648E-3</v>
      </c>
      <c r="D27" s="48">
        <f t="shared" si="14"/>
        <v>-4.7380141403426806E-5</v>
      </c>
      <c r="E27" s="48">
        <f t="shared" si="14"/>
        <v>-0.1209058837330898</v>
      </c>
      <c r="F27" s="48">
        <f t="shared" si="14"/>
        <v>-5.9403496979567455E-3</v>
      </c>
      <c r="G27" s="48">
        <f t="shared" si="14"/>
        <v>-5.4339241078414716E-2</v>
      </c>
      <c r="H27" s="48">
        <f t="shared" si="14"/>
        <v>-9.9105666749643384E-2</v>
      </c>
      <c r="I27" s="48">
        <f t="shared" si="14"/>
        <v>2.2832140015910107E-3</v>
      </c>
      <c r="J27" s="44">
        <f>J25-J26</f>
        <v>2.9952112081507276E-2</v>
      </c>
      <c r="K27" s="44">
        <f>K25-K26</f>
        <v>3.3696126091695686E-2</v>
      </c>
      <c r="L27" s="44">
        <f>L25-L26</f>
        <v>2.838433232934813E-2</v>
      </c>
      <c r="M27" s="44">
        <f>M25-M26</f>
        <v>2.8245058236298359E-2</v>
      </c>
      <c r="N27" s="44">
        <f>N25-N26</f>
        <v>3.0445358956277736E-2</v>
      </c>
    </row>
    <row r="28" spans="1:18" x14ac:dyDescent="0.3">
      <c r="A28" s="49" t="s">
        <v>109</v>
      </c>
      <c r="B28" s="7">
        <f>+Historicals!B110</f>
        <v>824</v>
      </c>
      <c r="C28" s="7">
        <f>+Historicals!C110</f>
        <v>719</v>
      </c>
      <c r="D28" s="7">
        <f>+Historicals!D110</f>
        <v>646</v>
      </c>
      <c r="E28" s="7">
        <f>+Historicals!E110</f>
        <v>595</v>
      </c>
      <c r="F28" s="7">
        <f>+Historicals!F110</f>
        <v>597</v>
      </c>
      <c r="G28" s="7">
        <f>+Historicals!G110</f>
        <v>516</v>
      </c>
      <c r="H28" s="7">
        <f>+Historicals!H110</f>
        <v>507</v>
      </c>
      <c r="I28" s="7">
        <f>+Historicals!I110</f>
        <v>633</v>
      </c>
      <c r="J28" s="45">
        <f>I28*(J29+1)</f>
        <v>616.45158755308307</v>
      </c>
      <c r="K28" s="45">
        <f>J28*(K29+1)</f>
        <v>598.32132370642705</v>
      </c>
      <c r="L28" s="45">
        <f>K28*(L29+1)</f>
        <v>588.05495351632374</v>
      </c>
      <c r="M28" s="45">
        <f>L28*(M29+1)</f>
        <v>584.1666087006214</v>
      </c>
      <c r="N28" s="45">
        <f>M28*(N29+1)</f>
        <v>585.58594722870055</v>
      </c>
    </row>
    <row r="29" spans="1:18" x14ac:dyDescent="0.3">
      <c r="A29" s="47" t="s">
        <v>134</v>
      </c>
      <c r="B29" s="48" t="str">
        <f t="shared" ref="B29:I29" si="15">+IFERROR(B28/A28-1,"nm")</f>
        <v>nm</v>
      </c>
      <c r="C29" s="48">
        <f t="shared" si="15"/>
        <v>-0.12742718446601942</v>
      </c>
      <c r="D29" s="48">
        <f t="shared" si="15"/>
        <v>-0.10152990264255912</v>
      </c>
      <c r="E29" s="48">
        <f t="shared" si="15"/>
        <v>-7.8947368421052655E-2</v>
      </c>
      <c r="F29" s="48">
        <f t="shared" si="15"/>
        <v>3.3613445378151141E-3</v>
      </c>
      <c r="G29" s="48">
        <f t="shared" si="15"/>
        <v>-0.13567839195979903</v>
      </c>
      <c r="H29" s="48">
        <f t="shared" si="15"/>
        <v>-1.744186046511631E-2</v>
      </c>
      <c r="I29" s="48">
        <f t="shared" si="15"/>
        <v>0.24852071005917153</v>
      </c>
      <c r="J29" s="44">
        <f>(SUM(B29:I29))/8</f>
        <v>-2.6142831669694985E-2</v>
      </c>
      <c r="K29" s="44">
        <f>(SUM(C29:J29))/8</f>
        <v>-2.941068562840686E-2</v>
      </c>
      <c r="L29" s="44">
        <f>(SUM(D29:K29))/8</f>
        <v>-1.7158623273705289E-2</v>
      </c>
      <c r="M29" s="44">
        <f>(SUM(E29:L29))/8</f>
        <v>-6.6122133525985602E-3</v>
      </c>
      <c r="N29" s="44">
        <f>(SUM(F29:M29))/8</f>
        <v>2.4296810309582021E-3</v>
      </c>
    </row>
    <row r="30" spans="1:18" x14ac:dyDescent="0.3">
      <c r="A30" s="47" t="s">
        <v>142</v>
      </c>
      <c r="B30" s="48">
        <f>+Historicals!B182</f>
        <v>-4.9596309111880045E-2</v>
      </c>
      <c r="C30" s="48">
        <f>+Historicals!C182</f>
        <v>-0.12742718446601942</v>
      </c>
      <c r="D30" s="48">
        <f>+Historicals!D182</f>
        <v>-0.10152990264255911</v>
      </c>
      <c r="E30" s="48">
        <f>+Historicals!E182</f>
        <v>-7.8947368421052627E-2</v>
      </c>
      <c r="F30" s="48">
        <f>+Historicals!F182</f>
        <v>3.3613445378151263E-3</v>
      </c>
      <c r="G30" s="48">
        <f>+Historicals!G182</f>
        <v>-0.135678391959799</v>
      </c>
      <c r="H30" s="48">
        <f>+Historicals!H182</f>
        <v>-1.7441860465116279E-2</v>
      </c>
      <c r="I30" s="48">
        <f>+Historicals!I182</f>
        <v>0.25</v>
      </c>
      <c r="J30" s="44">
        <v>0</v>
      </c>
      <c r="K30" s="44">
        <v>0</v>
      </c>
      <c r="L30" s="44">
        <v>0</v>
      </c>
      <c r="M30" s="44">
        <v>0</v>
      </c>
      <c r="N30" s="44">
        <v>0</v>
      </c>
    </row>
    <row r="31" spans="1:18" x14ac:dyDescent="0.3">
      <c r="A31" s="47" t="s">
        <v>143</v>
      </c>
      <c r="B31" s="48" t="str">
        <f t="shared" ref="B31:I31" si="16">+IFERROR(B29-B30,"nm")</f>
        <v>nm</v>
      </c>
      <c r="C31" s="48">
        <f t="shared" si="16"/>
        <v>0</v>
      </c>
      <c r="D31" s="48">
        <f t="shared" si="16"/>
        <v>-1.3877787807814457E-17</v>
      </c>
      <c r="E31" s="48">
        <f t="shared" si="16"/>
        <v>-2.7755575615628914E-17</v>
      </c>
      <c r="F31" s="48">
        <f t="shared" si="16"/>
        <v>-1.214306433183765E-17</v>
      </c>
      <c r="G31" s="48">
        <f t="shared" si="16"/>
        <v>-2.7755575615628914E-17</v>
      </c>
      <c r="H31" s="48">
        <f t="shared" si="16"/>
        <v>-3.1225022567582528E-17</v>
      </c>
      <c r="I31" s="48">
        <f t="shared" si="16"/>
        <v>-1.4792899408284654E-3</v>
      </c>
      <c r="J31" s="44">
        <f>J29-J30</f>
        <v>-2.6142831669694985E-2</v>
      </c>
      <c r="K31" s="44">
        <f>K29-K30</f>
        <v>-2.941068562840686E-2</v>
      </c>
      <c r="L31" s="44">
        <f>L29-L30</f>
        <v>-1.7158623273705289E-2</v>
      </c>
      <c r="M31" s="44">
        <f>M29-M30</f>
        <v>-6.6122133525985602E-3</v>
      </c>
      <c r="N31" s="44">
        <f>N29-N30</f>
        <v>2.4296810309582021E-3</v>
      </c>
    </row>
    <row r="32" spans="1:18" x14ac:dyDescent="0.3">
      <c r="A32" s="11" t="s">
        <v>135</v>
      </c>
      <c r="B32" s="51">
        <f t="shared" ref="B32:N32" si="17">+B38+B35</f>
        <v>3766</v>
      </c>
      <c r="C32" s="51">
        <f t="shared" si="17"/>
        <v>3896</v>
      </c>
      <c r="D32" s="51">
        <f t="shared" si="17"/>
        <v>4015</v>
      </c>
      <c r="E32" s="51">
        <f t="shared" si="17"/>
        <v>3760</v>
      </c>
      <c r="F32" s="51">
        <f t="shared" si="17"/>
        <v>4074</v>
      </c>
      <c r="G32" s="51">
        <f t="shared" si="17"/>
        <v>3047</v>
      </c>
      <c r="H32" s="51">
        <f t="shared" si="17"/>
        <v>5219</v>
      </c>
      <c r="I32" s="51">
        <f t="shared" si="17"/>
        <v>5238</v>
      </c>
      <c r="J32" s="51">
        <f t="shared" si="17"/>
        <v>5609.8119296968125</v>
      </c>
      <c r="K32" s="51">
        <f t="shared" si="17"/>
        <v>6058.3874034900173</v>
      </c>
      <c r="L32" s="51">
        <f t="shared" si="17"/>
        <v>6578.581620176903</v>
      </c>
      <c r="M32" s="51">
        <f t="shared" si="17"/>
        <v>7190.3889815177035</v>
      </c>
      <c r="N32" s="51">
        <f t="shared" si="17"/>
        <v>8004.7245650991836</v>
      </c>
    </row>
    <row r="33" spans="1:15" x14ac:dyDescent="0.3">
      <c r="A33" s="43" t="s">
        <v>134</v>
      </c>
      <c r="B33" s="48" t="str">
        <f t="shared" ref="B33:I33" si="18">+IFERROR(B32/A32-1,"nm")</f>
        <v>nm</v>
      </c>
      <c r="C33" s="48">
        <f t="shared" si="18"/>
        <v>3.4519383961763239E-2</v>
      </c>
      <c r="D33" s="48">
        <f t="shared" si="18"/>
        <v>3.0544147843942548E-2</v>
      </c>
      <c r="E33" s="48">
        <f t="shared" si="18"/>
        <v>-6.3511830635118338E-2</v>
      </c>
      <c r="F33" s="48">
        <f t="shared" si="18"/>
        <v>8.3510638297872308E-2</v>
      </c>
      <c r="G33" s="48">
        <f t="shared" si="18"/>
        <v>-0.25208640157093765</v>
      </c>
      <c r="H33" s="48">
        <f t="shared" si="18"/>
        <v>0.71283229405973092</v>
      </c>
      <c r="I33" s="48">
        <f t="shared" si="18"/>
        <v>3.6405441655489312E-3</v>
      </c>
      <c r="J33" s="44">
        <f>(SUM(B33:I33))/8</f>
        <v>6.8681097015350245E-2</v>
      </c>
      <c r="K33" s="44">
        <f>(SUM(C33:J33))/8</f>
        <v>7.7266234142269019E-2</v>
      </c>
      <c r="L33" s="44">
        <f>(SUM(D33:K33))/8</f>
        <v>8.2609590414832235E-2</v>
      </c>
      <c r="M33" s="44">
        <f>(SUM(E33:L33))/8</f>
        <v>8.9117770736193452E-2</v>
      </c>
      <c r="N33" s="44">
        <f>(SUM(F33:M33))/8</f>
        <v>0.10819647090760742</v>
      </c>
    </row>
    <row r="34" spans="1:15" x14ac:dyDescent="0.3">
      <c r="A34" s="43" t="s">
        <v>136</v>
      </c>
      <c r="B34" s="48">
        <f t="shared" ref="B34:I34" si="19">+IFERROR(B32/B$18,"nm")</f>
        <v>0.27409024745269289</v>
      </c>
      <c r="C34" s="48">
        <f t="shared" si="19"/>
        <v>0.26388512598211866</v>
      </c>
      <c r="D34" s="48">
        <f t="shared" si="19"/>
        <v>0.26386698212407994</v>
      </c>
      <c r="E34" s="48">
        <f t="shared" si="19"/>
        <v>0.25311342982160889</v>
      </c>
      <c r="F34" s="48">
        <f t="shared" si="19"/>
        <v>0.25619418941013711</v>
      </c>
      <c r="G34" s="48">
        <f t="shared" si="19"/>
        <v>0.2103700635183651</v>
      </c>
      <c r="H34" s="48">
        <f t="shared" si="19"/>
        <v>0.30380115256999823</v>
      </c>
      <c r="I34" s="48">
        <f t="shared" si="19"/>
        <v>0.28540293140086087</v>
      </c>
      <c r="J34" s="45">
        <f>J32/J18</f>
        <v>0.29400691253917582</v>
      </c>
      <c r="K34" s="45">
        <f>K32/K18</f>
        <v>0.30396077087088341</v>
      </c>
      <c r="L34" s="45">
        <f>L32/L18</f>
        <v>0.31710438614129505</v>
      </c>
      <c r="M34" s="45">
        <f>M32/M18</f>
        <v>0.33258148570784496</v>
      </c>
      <c r="N34" s="45">
        <f>N32/N18</f>
        <v>0.35249295939687569</v>
      </c>
    </row>
    <row r="35" spans="1:15" x14ac:dyDescent="0.3">
      <c r="A35" s="11" t="s">
        <v>137</v>
      </c>
      <c r="B35" s="11">
        <f>+Historicals!B167</f>
        <v>121</v>
      </c>
      <c r="C35" s="11">
        <f>+Historicals!C167</f>
        <v>133</v>
      </c>
      <c r="D35" s="11">
        <f>+Historicals!D167</f>
        <v>140</v>
      </c>
      <c r="E35" s="11">
        <f>+Historicals!E167</f>
        <v>160</v>
      </c>
      <c r="F35" s="11">
        <f>+Historicals!F167</f>
        <v>149</v>
      </c>
      <c r="G35" s="11">
        <f>+Historicals!G167</f>
        <v>148</v>
      </c>
      <c r="H35" s="11">
        <f>+Historicals!H167</f>
        <v>130</v>
      </c>
      <c r="I35" s="11">
        <f>+Historicals!I167</f>
        <v>124</v>
      </c>
      <c r="J35" s="52">
        <f>I35*(J36+1)</f>
        <v>124.79709367445722</v>
      </c>
      <c r="K35" s="52">
        <f>J35*(K36+1)</f>
        <v>125.69958839787152</v>
      </c>
      <c r="L35" s="52">
        <f>K35*(L36+1)</f>
        <v>125.16397799047803</v>
      </c>
      <c r="M35" s="52">
        <f>L35*(M36+1)</f>
        <v>123.74053659536357</v>
      </c>
      <c r="N35" s="52">
        <f>M35*(N36+1)</f>
        <v>119.94772436465873</v>
      </c>
    </row>
    <row r="36" spans="1:15" x14ac:dyDescent="0.3">
      <c r="A36" s="43" t="s">
        <v>134</v>
      </c>
      <c r="B36" s="48" t="str">
        <f t="shared" ref="B36:I36" si="20">+IFERROR(B35/A35-1,"nm")</f>
        <v>nm</v>
      </c>
      <c r="C36" s="48">
        <f t="shared" si="20"/>
        <v>9.9173553719008156E-2</v>
      </c>
      <c r="D36" s="48">
        <f t="shared" si="20"/>
        <v>5.2631578947368363E-2</v>
      </c>
      <c r="E36" s="48">
        <f t="shared" si="20"/>
        <v>0.14285714285714279</v>
      </c>
      <c r="F36" s="48">
        <f t="shared" si="20"/>
        <v>-6.8749999999999978E-2</v>
      </c>
      <c r="G36" s="48">
        <f t="shared" si="20"/>
        <v>-6.7114093959731447E-3</v>
      </c>
      <c r="H36" s="48">
        <f t="shared" si="20"/>
        <v>-0.1216216216216216</v>
      </c>
      <c r="I36" s="48">
        <f t="shared" si="20"/>
        <v>-4.6153846153846101E-2</v>
      </c>
      <c r="J36" s="44">
        <f>(SUM(B36:I36))/8</f>
        <v>6.4281747940098111E-3</v>
      </c>
      <c r="K36" s="44">
        <f>(SUM(C36:J36))/8</f>
        <v>7.2316966432610374E-3</v>
      </c>
      <c r="L36" s="44">
        <f>(SUM(D36:K36))/8</f>
        <v>-4.2610354912073524E-3</v>
      </c>
      <c r="M36" s="44">
        <f>(SUM(E36:L36))/8</f>
        <v>-1.1372612296029316E-2</v>
      </c>
      <c r="N36" s="44">
        <f>(SUM(F36:M36))/8</f>
        <v>-3.065133169017583E-2</v>
      </c>
    </row>
    <row r="37" spans="1:15" x14ac:dyDescent="0.3">
      <c r="A37" s="43" t="s">
        <v>138</v>
      </c>
      <c r="B37" s="48">
        <f t="shared" ref="B37:I37" si="21">+IFERROR(B35/B$18,"nm")</f>
        <v>8.8064046579330417E-3</v>
      </c>
      <c r="C37" s="48">
        <f t="shared" si="21"/>
        <v>9.0083988079111346E-3</v>
      </c>
      <c r="D37" s="48">
        <f t="shared" si="21"/>
        <v>9.2008412197686646E-3</v>
      </c>
      <c r="E37" s="48">
        <f t="shared" si="21"/>
        <v>1.0770784247728038E-2</v>
      </c>
      <c r="F37" s="48">
        <f t="shared" si="21"/>
        <v>9.3698905798012821E-3</v>
      </c>
      <c r="G37" s="48">
        <f t="shared" si="21"/>
        <v>1.0218171775752554E-2</v>
      </c>
      <c r="H37" s="48">
        <f t="shared" si="21"/>
        <v>7.5673787764130628E-3</v>
      </c>
      <c r="I37" s="48">
        <f t="shared" si="21"/>
        <v>6.7563886013185855E-3</v>
      </c>
      <c r="J37" s="45">
        <f>J35/J18</f>
        <v>6.5405415840870239E-3</v>
      </c>
      <c r="K37" s="45">
        <f>K35/K18</f>
        <v>6.3065864301711187E-3</v>
      </c>
      <c r="L37" s="45">
        <f>L35/L18</f>
        <v>6.033222463325735E-3</v>
      </c>
      <c r="M37" s="45">
        <f>M35/M18</f>
        <v>5.7234471749656969E-3</v>
      </c>
      <c r="N37" s="45">
        <f>N35/N18</f>
        <v>5.2819716644048453E-3</v>
      </c>
    </row>
    <row r="38" spans="1:15" x14ac:dyDescent="0.3">
      <c r="A38" s="11" t="s">
        <v>139</v>
      </c>
      <c r="B38" s="11">
        <f>+Historicals!B134</f>
        <v>3645</v>
      </c>
      <c r="C38" s="11">
        <f>+Historicals!C134</f>
        <v>3763</v>
      </c>
      <c r="D38" s="11">
        <f>+Historicals!D134</f>
        <v>3875</v>
      </c>
      <c r="E38" s="11">
        <f>+Historicals!E134</f>
        <v>3600</v>
      </c>
      <c r="F38" s="11">
        <f>+Historicals!F134</f>
        <v>3925</v>
      </c>
      <c r="G38" s="11">
        <f>+Historicals!G134</f>
        <v>2899</v>
      </c>
      <c r="H38" s="11">
        <f>+Historicals!H134</f>
        <v>5089</v>
      </c>
      <c r="I38" s="11">
        <f>+Historicals!I134</f>
        <v>5114</v>
      </c>
      <c r="J38" s="52">
        <f>I38*(J39+1)</f>
        <v>5485.0148360223557</v>
      </c>
      <c r="K38" s="52">
        <f>J38*(K39+1)</f>
        <v>5932.6878150921457</v>
      </c>
      <c r="L38" s="52">
        <f>K38*(L39+1)</f>
        <v>6453.4176421864249</v>
      </c>
      <c r="M38" s="52">
        <f>L38*(M39+1)</f>
        <v>7066.6484449223399</v>
      </c>
      <c r="N38" s="52">
        <f>M38*(N39+1)</f>
        <v>7884.7768407345247</v>
      </c>
    </row>
    <row r="39" spans="1:15" x14ac:dyDescent="0.3">
      <c r="A39" s="43" t="s">
        <v>134</v>
      </c>
      <c r="B39" s="48" t="str">
        <f t="shared" ref="B39:I39" si="22">+IFERROR(B38/A38-1,"nm")</f>
        <v>nm</v>
      </c>
      <c r="C39" s="48">
        <f t="shared" si="22"/>
        <v>3.2373113854595292E-2</v>
      </c>
      <c r="D39" s="48">
        <f t="shared" si="22"/>
        <v>2.9763486579856391E-2</v>
      </c>
      <c r="E39" s="48">
        <f t="shared" si="22"/>
        <v>-7.096774193548383E-2</v>
      </c>
      <c r="F39" s="48">
        <f t="shared" si="22"/>
        <v>9.0277777777777679E-2</v>
      </c>
      <c r="G39" s="48">
        <f t="shared" si="22"/>
        <v>-0.26140127388535028</v>
      </c>
      <c r="H39" s="48">
        <f t="shared" si="22"/>
        <v>0.75543290789927564</v>
      </c>
      <c r="I39" s="48">
        <f t="shared" si="22"/>
        <v>4.9125564943997002E-3</v>
      </c>
      <c r="J39" s="44">
        <f>(SUM(B39:I39))/8</f>
        <v>7.2548853348133824E-2</v>
      </c>
      <c r="K39" s="44">
        <f>(SUM(C39:J39))/8</f>
        <v>8.1617460016650545E-2</v>
      </c>
      <c r="L39" s="44">
        <f>(SUM(D39:K39))/8</f>
        <v>8.7773003286907458E-2</v>
      </c>
      <c r="M39" s="44">
        <f>(SUM(E39:L39))/8</f>
        <v>9.5024192875288849E-2</v>
      </c>
      <c r="N39" s="44">
        <f>(SUM(F39:M39))/8</f>
        <v>0.11577318472663545</v>
      </c>
    </row>
    <row r="40" spans="1:15" x14ac:dyDescent="0.3">
      <c r="A40" s="43" t="s">
        <v>136</v>
      </c>
      <c r="B40" s="48">
        <f t="shared" ref="B40:I40" si="23">+IFERROR(B38/B$18,"nm")</f>
        <v>0.26528384279475981</v>
      </c>
      <c r="C40" s="48">
        <f t="shared" si="23"/>
        <v>0.25487672717420751</v>
      </c>
      <c r="D40" s="48">
        <f t="shared" si="23"/>
        <v>0.25466614090431128</v>
      </c>
      <c r="E40" s="48">
        <f t="shared" si="23"/>
        <v>0.24234264557388085</v>
      </c>
      <c r="F40" s="48">
        <f t="shared" si="23"/>
        <v>0.2468242988303358</v>
      </c>
      <c r="G40" s="48">
        <f t="shared" si="23"/>
        <v>0.20015189174261253</v>
      </c>
      <c r="H40" s="48">
        <f t="shared" si="23"/>
        <v>0.29623377379358518</v>
      </c>
      <c r="I40" s="48">
        <f t="shared" si="23"/>
        <v>0.27864654279954232</v>
      </c>
      <c r="J40" s="45">
        <f>J38/J18</f>
        <v>0.28746637095508881</v>
      </c>
      <c r="K40" s="45">
        <f>K38/K18</f>
        <v>0.29765418444071229</v>
      </c>
      <c r="L40" s="45">
        <f>L38/L18</f>
        <v>0.31107116367796933</v>
      </c>
      <c r="M40" s="45">
        <f>M38/M18</f>
        <v>0.32685803853287926</v>
      </c>
      <c r="N40" s="45">
        <f>N38/N18</f>
        <v>0.34721098773247083</v>
      </c>
    </row>
    <row r="41" spans="1:15" x14ac:dyDescent="0.3">
      <c r="A41" s="11" t="s">
        <v>140</v>
      </c>
      <c r="B41" s="11">
        <f>+Historicals!B156</f>
        <v>208</v>
      </c>
      <c r="C41" s="11">
        <f>+Historicals!C156</f>
        <v>242</v>
      </c>
      <c r="D41" s="11">
        <f>+Historicals!D156</f>
        <v>223</v>
      </c>
      <c r="E41" s="11">
        <f>+Historicals!E156</f>
        <v>196</v>
      </c>
      <c r="F41" s="11">
        <f>+Historicals!F156</f>
        <v>117</v>
      </c>
      <c r="G41" s="11">
        <f>+Historicals!G156</f>
        <v>110</v>
      </c>
      <c r="H41" s="11">
        <f>+Historicals!H156</f>
        <v>98</v>
      </c>
      <c r="I41" s="11">
        <f>+Historicals!I156</f>
        <v>146</v>
      </c>
      <c r="J41" s="52">
        <f>I41*(J42+1)</f>
        <v>143.84079931212415</v>
      </c>
      <c r="K41" s="52">
        <f>J41*(K42+1)</f>
        <v>141.44762262087914</v>
      </c>
      <c r="L41" s="52">
        <f>K41*(L42+1)</f>
        <v>135.90993710469695</v>
      </c>
      <c r="M41" s="52">
        <f>L41*(M42+1)</f>
        <v>131.25776868599806</v>
      </c>
      <c r="N41" s="52">
        <f>M41*(N42+1)</f>
        <v>128.18975182534493</v>
      </c>
    </row>
    <row r="42" spans="1:15" x14ac:dyDescent="0.3">
      <c r="A42" s="43" t="s">
        <v>134</v>
      </c>
      <c r="B42" s="48" t="str">
        <f t="shared" ref="B42:I42" si="24">+IFERROR(B41/A41-1,"nm")</f>
        <v>nm</v>
      </c>
      <c r="C42" s="48">
        <f t="shared" si="24"/>
        <v>0.16346153846153855</v>
      </c>
      <c r="D42" s="48">
        <f t="shared" si="24"/>
        <v>-7.8512396694214837E-2</v>
      </c>
      <c r="E42" s="48">
        <f t="shared" si="24"/>
        <v>-0.12107623318385652</v>
      </c>
      <c r="F42" s="48">
        <f t="shared" si="24"/>
        <v>-0.40306122448979587</v>
      </c>
      <c r="G42" s="48">
        <f t="shared" si="24"/>
        <v>-5.9829059829059839E-2</v>
      </c>
      <c r="H42" s="48">
        <f t="shared" si="24"/>
        <v>-0.10909090909090913</v>
      </c>
      <c r="I42" s="48">
        <f t="shared" si="24"/>
        <v>0.48979591836734704</v>
      </c>
      <c r="J42" s="44">
        <f>(SUM(B42:I42))/8</f>
        <v>-1.4789045807368825E-2</v>
      </c>
      <c r="K42" s="44">
        <f>(SUM(C42:J42))/8</f>
        <v>-1.663767653328993E-2</v>
      </c>
      <c r="L42" s="44">
        <f>(SUM(D42:K42))/8</f>
        <v>-3.9150078407643493E-2</v>
      </c>
      <c r="M42" s="44">
        <f>(SUM(E42:L42))/8</f>
        <v>-3.422978862182207E-2</v>
      </c>
      <c r="N42" s="44">
        <f>(SUM(F42:M42))/8</f>
        <v>-2.3373983051567765E-2</v>
      </c>
    </row>
    <row r="43" spans="1:15" x14ac:dyDescent="0.3">
      <c r="A43" s="43" t="s">
        <v>138</v>
      </c>
      <c r="B43" s="48">
        <f t="shared" ref="B43:I43" si="25">+IFERROR(B41/B$18,"nm")</f>
        <v>1.5138282387190683E-2</v>
      </c>
      <c r="C43" s="48">
        <f t="shared" si="25"/>
        <v>1.6391221891086428E-2</v>
      </c>
      <c r="D43" s="48">
        <f t="shared" si="25"/>
        <v>1.4655625657202945E-2</v>
      </c>
      <c r="E43" s="48">
        <f t="shared" si="25"/>
        <v>1.3194210703466847E-2</v>
      </c>
      <c r="F43" s="48">
        <f t="shared" si="25"/>
        <v>7.3575650861526856E-3</v>
      </c>
      <c r="G43" s="48">
        <f t="shared" si="25"/>
        <v>7.5945871306268989E-3</v>
      </c>
      <c r="H43" s="48">
        <f t="shared" si="25"/>
        <v>5.7046393852960009E-3</v>
      </c>
      <c r="I43" s="48">
        <f t="shared" si="25"/>
        <v>7.9551027080041418E-3</v>
      </c>
      <c r="J43" s="45">
        <f>J41/J18</f>
        <v>7.5386108897968771E-3</v>
      </c>
      <c r="K43" s="45">
        <f>K41/K18</f>
        <v>7.0966951345713949E-3</v>
      </c>
      <c r="L43" s="45">
        <f>L41/L18</f>
        <v>6.5512050567106926E-3</v>
      </c>
      <c r="M43" s="45">
        <f>M41/M18</f>
        <v>6.0711463361015116E-3</v>
      </c>
      <c r="N43" s="45">
        <f>N41/N18</f>
        <v>5.6449144024616413E-3</v>
      </c>
    </row>
    <row r="44" spans="1:15" x14ac:dyDescent="0.3">
      <c r="A44" s="46" t="str">
        <f>+Historicals!A111</f>
        <v>Europe, Middle East &amp; Africa</v>
      </c>
      <c r="B44" s="46"/>
      <c r="C44" s="46"/>
      <c r="D44" s="46"/>
      <c r="E44" s="46"/>
      <c r="F44" s="46"/>
      <c r="G44" s="46"/>
      <c r="H44" s="46"/>
      <c r="I44" s="46"/>
      <c r="J44" s="41"/>
      <c r="K44" s="41"/>
      <c r="L44" s="41"/>
      <c r="M44" s="41"/>
      <c r="N44" s="41"/>
    </row>
    <row r="45" spans="1:15" x14ac:dyDescent="0.3">
      <c r="A45" s="11" t="s">
        <v>141</v>
      </c>
      <c r="B45" s="53">
        <f>+Historicals!B111</f>
        <v>7126</v>
      </c>
      <c r="C45" s="53">
        <f>+Historicals!C111</f>
        <v>7568</v>
      </c>
      <c r="D45" s="53">
        <f>+Historicals!D111</f>
        <v>7970</v>
      </c>
      <c r="E45" s="53">
        <f>+Historicals!E111</f>
        <v>9242</v>
      </c>
      <c r="F45" s="53">
        <f>+Historicals!F111</f>
        <v>9812</v>
      </c>
      <c r="G45" s="53">
        <f>+Historicals!G111</f>
        <v>9347</v>
      </c>
      <c r="H45" s="53">
        <f>+Historicals!H111</f>
        <v>11456</v>
      </c>
      <c r="I45" s="53">
        <f>+Historicals!I111</f>
        <v>12479</v>
      </c>
      <c r="J45" s="45">
        <f>I45*(J46+1)</f>
        <v>13655.216574666752</v>
      </c>
      <c r="K45" s="45">
        <f>J45*(K46+1)</f>
        <v>14899.4062575917</v>
      </c>
      <c r="L45" s="45">
        <f>K45*(L46+1)</f>
        <v>16311.134452223492</v>
      </c>
      <c r="M45" s="45">
        <f>L45*(M46+1)</f>
        <v>17941.508424190244</v>
      </c>
      <c r="N45" s="45">
        <f>M45*(N46+1)</f>
        <v>19601.083345105617</v>
      </c>
      <c r="O45" s="55" t="s">
        <v>147</v>
      </c>
    </row>
    <row r="46" spans="1:15" x14ac:dyDescent="0.3">
      <c r="A46" s="47" t="s">
        <v>134</v>
      </c>
      <c r="B46" s="54">
        <f>+Historicals!B183</f>
        <v>0.1193842287150487</v>
      </c>
      <c r="C46" s="54">
        <f>+Historicals!C183</f>
        <v>6.2026382262138649E-2</v>
      </c>
      <c r="D46" s="54">
        <f>+Historicals!D183</f>
        <v>5.3118393234672302E-2</v>
      </c>
      <c r="E46" s="54">
        <f>+Historicals!E183</f>
        <v>0.15959849435382686</v>
      </c>
      <c r="F46" s="54">
        <f>+Historicals!F183</f>
        <v>6.1674962129409219E-2</v>
      </c>
      <c r="G46" s="54">
        <f>+Historicals!G183</f>
        <v>-4.7390949857317573E-2</v>
      </c>
      <c r="H46" s="54">
        <f>+Historicals!H183</f>
        <v>0.22563389322777361</v>
      </c>
      <c r="I46" s="54">
        <f>+Historicals!I183</f>
        <v>0.12</v>
      </c>
      <c r="J46" s="44">
        <f>(SUM(B46:I46))/8</f>
        <v>9.425567550819397E-2</v>
      </c>
      <c r="K46" s="44">
        <f>(SUM(C46:J46))/8</f>
        <v>9.1114606357337119E-2</v>
      </c>
      <c r="L46" s="44">
        <f>(SUM(D46:K46))/8</f>
        <v>9.4750634369236947E-2</v>
      </c>
      <c r="M46" s="44">
        <f>(SUM(E46:L46))/8</f>
        <v>9.9954664511057514E-2</v>
      </c>
      <c r="N46" s="44">
        <f>(SUM(F46:M46))/8</f>
        <v>9.249918578071134E-2</v>
      </c>
    </row>
    <row r="47" spans="1:15" x14ac:dyDescent="0.3">
      <c r="A47" s="49" t="s">
        <v>107</v>
      </c>
      <c r="B47">
        <f>+Historicals!B112</f>
        <v>4703</v>
      </c>
      <c r="C47">
        <f>+Historicals!C112</f>
        <v>5043</v>
      </c>
      <c r="D47">
        <f>+Historicals!D112</f>
        <v>5192</v>
      </c>
      <c r="E47">
        <f>+Historicals!E112</f>
        <v>5875</v>
      </c>
      <c r="F47">
        <f>+Historicals!F112</f>
        <v>6293</v>
      </c>
      <c r="G47">
        <f>+Historicals!G112</f>
        <v>5892</v>
      </c>
      <c r="H47" s="20">
        <f>+Historicals!H112</f>
        <v>6970</v>
      </c>
      <c r="I47" s="20">
        <f>+Historicals!I112</f>
        <v>7388</v>
      </c>
      <c r="J47">
        <v>8260</v>
      </c>
      <c r="K47" s="45">
        <f>J47*(K48+1)</f>
        <v>8819.5935277473836</v>
      </c>
      <c r="L47" s="45">
        <f>K47*(L48+1)</f>
        <v>9417.4587991824301</v>
      </c>
      <c r="M47" s="45">
        <f>L47*(M48+1)</f>
        <v>10101.868759761202</v>
      </c>
      <c r="N47" s="45">
        <f>M47*(N48+1)</f>
        <v>10780.987083552256</v>
      </c>
    </row>
    <row r="48" spans="1:15" x14ac:dyDescent="0.3">
      <c r="A48" s="47" t="s">
        <v>134</v>
      </c>
      <c r="B48" s="44" t="str">
        <f>+IFERROR(B47/A47-1,"nm")</f>
        <v>nm</v>
      </c>
      <c r="C48" s="44">
        <f t="shared" ref="C48:I48" si="26">(C47-B47)/C47</f>
        <v>6.7420186396985923E-2</v>
      </c>
      <c r="D48" s="44">
        <f t="shared" si="26"/>
        <v>2.86979969183359E-2</v>
      </c>
      <c r="E48" s="44">
        <f t="shared" si="26"/>
        <v>0.11625531914893616</v>
      </c>
      <c r="F48" s="44">
        <f t="shared" si="26"/>
        <v>6.6423009693310026E-2</v>
      </c>
      <c r="G48" s="44">
        <f t="shared" si="26"/>
        <v>-6.8058384249830281E-2</v>
      </c>
      <c r="H48" s="44">
        <f t="shared" si="26"/>
        <v>0.15466284074605452</v>
      </c>
      <c r="I48" s="44">
        <f t="shared" si="26"/>
        <v>5.6578234975636167E-2</v>
      </c>
      <c r="J48" s="44">
        <v>0.12</v>
      </c>
      <c r="K48" s="44">
        <f t="shared" ref="K48:N49" si="27">(SUM(C48:J48))/8</f>
        <v>6.7747400453678552E-2</v>
      </c>
      <c r="L48" s="44">
        <f t="shared" si="27"/>
        <v>6.7788302210765136E-2</v>
      </c>
      <c r="M48" s="44">
        <f t="shared" si="27"/>
        <v>7.2674590372318784E-2</v>
      </c>
      <c r="N48" s="44">
        <f t="shared" si="27"/>
        <v>6.7226999275241617E-2</v>
      </c>
    </row>
    <row r="49" spans="1:14" x14ac:dyDescent="0.3">
      <c r="A49" s="47" t="s">
        <v>142</v>
      </c>
      <c r="B49" s="44">
        <f>+Historicals!B184</f>
        <v>0.15780403741999016</v>
      </c>
      <c r="C49" s="44">
        <f>+Historicals!C184</f>
        <v>7.2294280246651077E-2</v>
      </c>
      <c r="D49" s="44">
        <f>+Historicals!D184</f>
        <v>2.9545905215149711E-2</v>
      </c>
      <c r="E49" s="44">
        <f>+Historicals!E184</f>
        <v>0.13154853620955315</v>
      </c>
      <c r="F49" s="44">
        <f>+Historicals!F184</f>
        <v>7.114893617021277E-2</v>
      </c>
      <c r="G49" s="44">
        <f>+Historicals!G184</f>
        <v>-6.3721595423486418E-2</v>
      </c>
      <c r="H49" s="44">
        <f>+Historicals!H184</f>
        <v>0.18295994568906992</v>
      </c>
      <c r="I49" s="44">
        <f>+Historicals!I184</f>
        <v>0.09</v>
      </c>
      <c r="J49" s="44">
        <v>0.25</v>
      </c>
      <c r="K49" s="44">
        <f t="shared" si="27"/>
        <v>9.5472001013393773E-2</v>
      </c>
      <c r="L49" s="44">
        <f t="shared" si="27"/>
        <v>9.8369216109236615E-2</v>
      </c>
      <c r="M49" s="44">
        <f t="shared" si="27"/>
        <v>0.10697212997099749</v>
      </c>
      <c r="N49" s="44">
        <f t="shared" si="27"/>
        <v>0.10390007919117802</v>
      </c>
    </row>
    <row r="50" spans="1:14" x14ac:dyDescent="0.3">
      <c r="A50" s="47" t="s">
        <v>143</v>
      </c>
      <c r="B50" s="44" t="s">
        <v>144</v>
      </c>
      <c r="C50" s="44">
        <f t="shared" ref="C50:N50" si="28">C48-C49</f>
        <v>-4.8740938496651537E-3</v>
      </c>
      <c r="D50" s="44">
        <f t="shared" si="28"/>
        <v>-8.4790829681381102E-4</v>
      </c>
      <c r="E50" s="44">
        <f t="shared" si="28"/>
        <v>-1.5293217060616981E-2</v>
      </c>
      <c r="F50" s="44">
        <f t="shared" si="28"/>
        <v>-4.7259264769027448E-3</v>
      </c>
      <c r="G50" s="44">
        <f t="shared" si="28"/>
        <v>-4.3367888263438625E-3</v>
      </c>
      <c r="H50" s="44">
        <f t="shared" si="28"/>
        <v>-2.8297104943015405E-2</v>
      </c>
      <c r="I50" s="44">
        <f t="shared" si="28"/>
        <v>-3.342176502436383E-2</v>
      </c>
      <c r="J50" s="44">
        <f t="shared" si="28"/>
        <v>-0.13</v>
      </c>
      <c r="K50" s="44">
        <f t="shared" si="28"/>
        <v>-2.7724600559715221E-2</v>
      </c>
      <c r="L50" s="44">
        <f t="shared" si="28"/>
        <v>-3.0580913898471479E-2</v>
      </c>
      <c r="M50" s="44">
        <f t="shared" si="28"/>
        <v>-3.4297539598678706E-2</v>
      </c>
      <c r="N50" s="44">
        <f t="shared" si="28"/>
        <v>-3.6673079915936407E-2</v>
      </c>
    </row>
    <row r="51" spans="1:14" x14ac:dyDescent="0.3">
      <c r="A51" s="49" t="s">
        <v>108</v>
      </c>
      <c r="B51">
        <f>+Historicals!B113</f>
        <v>2051</v>
      </c>
      <c r="C51">
        <f>+Historicals!C113</f>
        <v>2149</v>
      </c>
      <c r="D51">
        <f>+Historicals!D113</f>
        <v>2395</v>
      </c>
      <c r="E51">
        <f>+Historicals!E113</f>
        <v>2940</v>
      </c>
      <c r="F51">
        <f>+Historicals!F113</f>
        <v>3087</v>
      </c>
      <c r="G51">
        <f>+Historicals!G113</f>
        <v>3053</v>
      </c>
      <c r="H51" s="20">
        <f>+Historicals!H113</f>
        <v>3996</v>
      </c>
      <c r="I51" s="20">
        <f>+Historicals!I113</f>
        <v>4527</v>
      </c>
      <c r="J51" s="45">
        <v>4566</v>
      </c>
      <c r="K51" s="45">
        <f>I51*(J52+1)</f>
        <v>4936.3853314366024</v>
      </c>
      <c r="L51" s="45">
        <f>J51*(K52+1)</f>
        <v>5030.5261986430241</v>
      </c>
      <c r="M51" s="45">
        <f>K51*(L52+1)</f>
        <v>5473.2299784798242</v>
      </c>
      <c r="N51" s="45">
        <f>L51*(M52+1)</f>
        <v>5581.4060710502608</v>
      </c>
    </row>
    <row r="52" spans="1:14" x14ac:dyDescent="0.3">
      <c r="A52" s="47" t="s">
        <v>134</v>
      </c>
      <c r="B52" s="44" t="s">
        <v>144</v>
      </c>
      <c r="C52" s="44">
        <f t="shared" ref="C52:I52" si="29">(C51-B51)/C51</f>
        <v>4.5602605863192182E-2</v>
      </c>
      <c r="D52" s="44">
        <f t="shared" si="29"/>
        <v>0.10271398747390396</v>
      </c>
      <c r="E52" s="44">
        <f t="shared" si="29"/>
        <v>0.18537414965986396</v>
      </c>
      <c r="F52" s="44">
        <f t="shared" si="29"/>
        <v>4.7619047619047616E-2</v>
      </c>
      <c r="G52" s="44">
        <f t="shared" si="29"/>
        <v>-1.1136586963642319E-2</v>
      </c>
      <c r="H52" s="44">
        <f t="shared" si="29"/>
        <v>0.235985985985986</v>
      </c>
      <c r="I52" s="44">
        <f t="shared" si="29"/>
        <v>0.1172962226640159</v>
      </c>
      <c r="J52" s="44">
        <f t="shared" ref="J52:N53" si="30">(SUM(B52:I52))/8</f>
        <v>9.0431926537795915E-2</v>
      </c>
      <c r="K52" s="44">
        <f t="shared" si="30"/>
        <v>0.10173591735502041</v>
      </c>
      <c r="L52" s="44">
        <f t="shared" si="30"/>
        <v>0.10875258129149894</v>
      </c>
      <c r="M52" s="44">
        <f t="shared" si="30"/>
        <v>0.10950740551869829</v>
      </c>
      <c r="N52" s="44">
        <f t="shared" si="30"/>
        <v>0.1000240625010526</v>
      </c>
    </row>
    <row r="53" spans="1:14" x14ac:dyDescent="0.3">
      <c r="A53" s="47" t="s">
        <v>142</v>
      </c>
      <c r="B53" s="44">
        <f>+Historicals!B185</f>
        <v>4.6962736089841757E-2</v>
      </c>
      <c r="C53" s="44">
        <f>+Historicals!C185</f>
        <v>4.778156996587031E-2</v>
      </c>
      <c r="D53" s="44">
        <f>+Historicals!D185</f>
        <v>0.11447184737087017</v>
      </c>
      <c r="E53" s="44">
        <f>+Historicals!E185</f>
        <v>0.22755741127348644</v>
      </c>
      <c r="F53" s="44">
        <f>+Historicals!F185</f>
        <v>0.05</v>
      </c>
      <c r="G53" s="44">
        <f>+Historicals!G185</f>
        <v>-1.101392938127632E-2</v>
      </c>
      <c r="H53" s="44">
        <f>+Historicals!H185</f>
        <v>0.30887651490337376</v>
      </c>
      <c r="I53" s="44">
        <f>+Historicals!I185</f>
        <v>0.16</v>
      </c>
      <c r="J53" s="44">
        <f t="shared" si="30"/>
        <v>0.11807951877777077</v>
      </c>
      <c r="K53" s="44">
        <f t="shared" si="30"/>
        <v>0.1269691166137619</v>
      </c>
      <c r="L53" s="44">
        <f t="shared" si="30"/>
        <v>0.13686755994474836</v>
      </c>
      <c r="M53" s="44">
        <f t="shared" si="30"/>
        <v>0.13966702401648312</v>
      </c>
      <c r="N53" s="44">
        <f t="shared" si="30"/>
        <v>0.12868072560935767</v>
      </c>
    </row>
    <row r="54" spans="1:14" x14ac:dyDescent="0.3">
      <c r="A54" s="47" t="s">
        <v>143</v>
      </c>
      <c r="B54" s="44" t="s">
        <v>144</v>
      </c>
      <c r="C54" s="44">
        <f t="shared" ref="C54:N54" si="31">C52-C53</f>
        <v>-2.1789641026781284E-3</v>
      </c>
      <c r="D54" s="44">
        <f t="shared" si="31"/>
        <v>-1.1757859896966205E-2</v>
      </c>
      <c r="E54" s="44">
        <f t="shared" si="31"/>
        <v>-4.2183261613622486E-2</v>
      </c>
      <c r="F54" s="44">
        <f t="shared" si="31"/>
        <v>-2.3809523809523864E-3</v>
      </c>
      <c r="G54" s="44">
        <f t="shared" si="31"/>
        <v>-1.2265758236599915E-4</v>
      </c>
      <c r="H54" s="44">
        <f t="shared" si="31"/>
        <v>-7.2890528917387759E-2</v>
      </c>
      <c r="I54" s="44">
        <f t="shared" si="31"/>
        <v>-4.27037773359841E-2</v>
      </c>
      <c r="J54" s="44">
        <f t="shared" si="31"/>
        <v>-2.7647592239974858E-2</v>
      </c>
      <c r="K54" s="44">
        <f t="shared" si="31"/>
        <v>-2.5233199258741484E-2</v>
      </c>
      <c r="L54" s="44">
        <f t="shared" si="31"/>
        <v>-2.8114978653249426E-2</v>
      </c>
      <c r="M54" s="44">
        <f t="shared" si="31"/>
        <v>-3.0159618497784826E-2</v>
      </c>
      <c r="N54" s="44">
        <f t="shared" si="31"/>
        <v>-2.8656663108305072E-2</v>
      </c>
    </row>
    <row r="55" spans="1:14" x14ac:dyDescent="0.3">
      <c r="A55" s="49" t="s">
        <v>109</v>
      </c>
      <c r="B55">
        <f>+Historicals!B114</f>
        <v>372</v>
      </c>
      <c r="C55">
        <f>+Historicals!C114</f>
        <v>376</v>
      </c>
      <c r="D55">
        <f>+Historicals!D114</f>
        <v>383</v>
      </c>
      <c r="E55">
        <f>+Historicals!E114</f>
        <v>427</v>
      </c>
      <c r="F55">
        <f>+Historicals!F114</f>
        <v>432</v>
      </c>
      <c r="G55">
        <f>+Historicals!G114</f>
        <v>402</v>
      </c>
      <c r="H55">
        <f>+Historicals!H114</f>
        <v>490</v>
      </c>
      <c r="I55">
        <f>+Historicals!I114</f>
        <v>564</v>
      </c>
      <c r="J55">
        <v>592</v>
      </c>
      <c r="K55" s="45">
        <f>I55*(J56+1)</f>
        <v>590.76915143385656</v>
      </c>
      <c r="L55" s="45">
        <f>J55*(K56+1)</f>
        <v>621.6</v>
      </c>
      <c r="M55" s="45">
        <f>K55*(L56+1)</f>
        <v>625.2205200190707</v>
      </c>
      <c r="N55" s="45">
        <f>L55*(M56+1)</f>
        <v>660.96036284399577</v>
      </c>
    </row>
    <row r="56" spans="1:14" x14ac:dyDescent="0.3">
      <c r="A56" s="47" t="s">
        <v>134</v>
      </c>
      <c r="B56" s="44" t="s">
        <v>144</v>
      </c>
      <c r="C56" s="44">
        <f t="shared" ref="C56:I56" si="32">(C55-B55)/C55</f>
        <v>1.0638297872340425E-2</v>
      </c>
      <c r="D56" s="44">
        <f t="shared" si="32"/>
        <v>1.8276762402088774E-2</v>
      </c>
      <c r="E56" s="44">
        <f t="shared" si="32"/>
        <v>0.10304449648711944</v>
      </c>
      <c r="F56" s="44">
        <f t="shared" si="32"/>
        <v>1.1574074074074073E-2</v>
      </c>
      <c r="G56" s="44">
        <f t="shared" si="32"/>
        <v>-7.4626865671641784E-2</v>
      </c>
      <c r="H56" s="44">
        <f t="shared" si="32"/>
        <v>0.17959183673469387</v>
      </c>
      <c r="I56" s="44">
        <f t="shared" si="32"/>
        <v>0.13120567375886524</v>
      </c>
      <c r="J56" s="44">
        <f>(SUM(B56:I56))/8</f>
        <v>4.7463034457192507E-2</v>
      </c>
      <c r="K56" s="44">
        <v>0.05</v>
      </c>
      <c r="L56" s="44">
        <f t="shared" ref="L56:N57" si="33">(SUM(D56:K56))/8</f>
        <v>5.8316126530299016E-2</v>
      </c>
      <c r="M56" s="44">
        <f t="shared" si="33"/>
        <v>6.3321047046325296E-2</v>
      </c>
      <c r="N56" s="44">
        <f t="shared" si="33"/>
        <v>5.8355615866226021E-2</v>
      </c>
    </row>
    <row r="57" spans="1:14" x14ac:dyDescent="0.3">
      <c r="A57" s="47" t="s">
        <v>142</v>
      </c>
      <c r="B57" s="44">
        <f>+Historicals!B186</f>
        <v>7.8260869565217397E-2</v>
      </c>
      <c r="C57" s="44">
        <f>+Historicals!C186</f>
        <v>1.0752688172043012E-2</v>
      </c>
      <c r="D57" s="44">
        <f>+Historicals!D186</f>
        <v>1.8617021276595744E-2</v>
      </c>
      <c r="E57" s="44">
        <f>+Historicals!E186</f>
        <v>0.11488250652741515</v>
      </c>
      <c r="F57" s="44">
        <f>+Historicals!F186</f>
        <v>1.1709601873536301E-2</v>
      </c>
      <c r="G57" s="44">
        <f>+Historicals!G186</f>
        <v>-6.9444444444444448E-2</v>
      </c>
      <c r="H57" s="44">
        <f>+Historicals!H186</f>
        <v>0.21890547263681592</v>
      </c>
      <c r="I57" s="44">
        <f>+Historicals!I186</f>
        <v>0.17</v>
      </c>
      <c r="J57" s="44">
        <f>(SUM(B57:I57))/8</f>
        <v>6.9210464450897388E-2</v>
      </c>
      <c r="K57" s="44">
        <v>0.18</v>
      </c>
      <c r="L57" s="44">
        <f t="shared" si="33"/>
        <v>8.9235077790102008E-2</v>
      </c>
      <c r="M57" s="44">
        <f t="shared" si="33"/>
        <v>9.8062334854290292E-2</v>
      </c>
      <c r="N57" s="44">
        <f t="shared" si="33"/>
        <v>9.5959813395149668E-2</v>
      </c>
    </row>
    <row r="58" spans="1:14" x14ac:dyDescent="0.3">
      <c r="A58" s="47" t="s">
        <v>143</v>
      </c>
      <c r="B58" s="44" t="s">
        <v>144</v>
      </c>
      <c r="C58" s="44">
        <f t="shared" ref="C58:N58" si="34">C56-C57</f>
        <v>-1.1439029970258634E-4</v>
      </c>
      <c r="D58" s="44">
        <f t="shared" si="34"/>
        <v>-3.4025887450696984E-4</v>
      </c>
      <c r="E58" s="44">
        <f t="shared" si="34"/>
        <v>-1.1838010040295707E-2</v>
      </c>
      <c r="F58" s="44">
        <f t="shared" si="34"/>
        <v>-1.3552779946222719E-4</v>
      </c>
      <c r="G58" s="44">
        <f t="shared" si="34"/>
        <v>-5.1824212271973369E-3</v>
      </c>
      <c r="H58" s="44">
        <f t="shared" si="34"/>
        <v>-3.9313635902122057E-2</v>
      </c>
      <c r="I58" s="44">
        <f t="shared" si="34"/>
        <v>-3.8794326241134769E-2</v>
      </c>
      <c r="J58" s="44">
        <f t="shared" si="34"/>
        <v>-2.1747429993704881E-2</v>
      </c>
      <c r="K58" s="44">
        <f t="shared" si="34"/>
        <v>-0.13</v>
      </c>
      <c r="L58" s="44">
        <f t="shared" si="34"/>
        <v>-3.0918951259802992E-2</v>
      </c>
      <c r="M58" s="44">
        <f t="shared" si="34"/>
        <v>-3.4741287807964996E-2</v>
      </c>
      <c r="N58" s="44">
        <f t="shared" si="34"/>
        <v>-3.7604197528923647E-2</v>
      </c>
    </row>
    <row r="59" spans="1:14" x14ac:dyDescent="0.3">
      <c r="A59" s="11" t="s">
        <v>135</v>
      </c>
      <c r="B59">
        <f t="shared" ref="B59:N59" si="35">B62+B65</f>
        <v>1611</v>
      </c>
      <c r="C59">
        <f t="shared" si="35"/>
        <v>1872</v>
      </c>
      <c r="D59">
        <f t="shared" si="35"/>
        <v>1613</v>
      </c>
      <c r="E59">
        <f t="shared" si="35"/>
        <v>1703</v>
      </c>
      <c r="F59">
        <f t="shared" si="35"/>
        <v>2106</v>
      </c>
      <c r="G59">
        <f t="shared" si="35"/>
        <v>1673</v>
      </c>
      <c r="H59">
        <f t="shared" si="35"/>
        <v>2571</v>
      </c>
      <c r="I59">
        <f t="shared" si="35"/>
        <v>3427</v>
      </c>
      <c r="J59">
        <f t="shared" si="35"/>
        <v>3651</v>
      </c>
      <c r="K59" s="45">
        <f t="shared" si="35"/>
        <v>3639.7384930388871</v>
      </c>
      <c r="L59" s="45">
        <f t="shared" si="35"/>
        <v>3928.1327067413963</v>
      </c>
      <c r="M59" s="45">
        <f t="shared" si="35"/>
        <v>3886.1202528600229</v>
      </c>
      <c r="N59" s="45">
        <f t="shared" si="35"/>
        <v>4312.7010460201227</v>
      </c>
    </row>
    <row r="60" spans="1:14" x14ac:dyDescent="0.3">
      <c r="A60" s="43" t="s">
        <v>134</v>
      </c>
      <c r="B60" t="s">
        <v>144</v>
      </c>
      <c r="C60" s="44">
        <f t="shared" ref="C60:I60" si="36">(C59-B59)/C59</f>
        <v>0.13942307692307693</v>
      </c>
      <c r="D60" s="44">
        <f t="shared" si="36"/>
        <v>-0.16057036577805331</v>
      </c>
      <c r="E60" s="44">
        <f t="shared" si="36"/>
        <v>5.2847915443335287E-2</v>
      </c>
      <c r="F60" s="44">
        <f t="shared" si="36"/>
        <v>0.19135802469135801</v>
      </c>
      <c r="G60" s="44">
        <f t="shared" si="36"/>
        <v>-0.25881649731022116</v>
      </c>
      <c r="H60" s="44">
        <f t="shared" si="36"/>
        <v>0.34928043562816025</v>
      </c>
      <c r="I60" s="44">
        <f t="shared" si="36"/>
        <v>0.24978114969360957</v>
      </c>
      <c r="J60" s="44">
        <f>(SUM(B60:I60))/8</f>
        <v>7.0412967411408192E-2</v>
      </c>
      <c r="K60" s="44">
        <f>(SUM(C60:J60))/8</f>
        <v>7.9214588337834221E-2</v>
      </c>
      <c r="L60" s="44">
        <f>(SUM(D60:K60))/8</f>
        <v>7.1688527264678878E-2</v>
      </c>
      <c r="M60" s="44">
        <f>(SUM(E60:L60))/8</f>
        <v>0.10072088889502041</v>
      </c>
      <c r="N60" s="44">
        <f>(SUM(F60:M60))/8</f>
        <v>0.10670501057648105</v>
      </c>
    </row>
    <row r="61" spans="1:14" x14ac:dyDescent="0.3">
      <c r="A61" s="43" t="s">
        <v>136</v>
      </c>
      <c r="B61" s="44">
        <f t="shared" ref="B61:N61" si="37">B59/B45</f>
        <v>0.22607353353915241</v>
      </c>
      <c r="C61" s="44">
        <f t="shared" si="37"/>
        <v>0.24735729386892177</v>
      </c>
      <c r="D61" s="44">
        <f t="shared" si="37"/>
        <v>0.20238393977415309</v>
      </c>
      <c r="E61" s="44">
        <f t="shared" si="37"/>
        <v>0.18426747457260334</v>
      </c>
      <c r="F61" s="44">
        <f t="shared" si="37"/>
        <v>0.21463514064410924</v>
      </c>
      <c r="G61" s="44">
        <f t="shared" si="37"/>
        <v>0.17898791055953783</v>
      </c>
      <c r="H61" s="44">
        <f t="shared" si="37"/>
        <v>0.22442388268156424</v>
      </c>
      <c r="I61" s="44">
        <f t="shared" si="37"/>
        <v>0.27462136389133746</v>
      </c>
      <c r="J61" s="44">
        <f t="shared" si="37"/>
        <v>0.26737034744460658</v>
      </c>
      <c r="K61" s="44">
        <f t="shared" si="37"/>
        <v>0.24428748569657466</v>
      </c>
      <c r="L61" s="44">
        <f t="shared" si="37"/>
        <v>0.24082523004437151</v>
      </c>
      <c r="M61" s="44">
        <f t="shared" si="37"/>
        <v>0.21659941633560922</v>
      </c>
      <c r="N61" s="44">
        <f t="shared" si="37"/>
        <v>0.22002360635321733</v>
      </c>
    </row>
    <row r="62" spans="1:14" x14ac:dyDescent="0.3">
      <c r="A62" s="11" t="s">
        <v>137</v>
      </c>
      <c r="B62">
        <f>+Historicals!B168</f>
        <v>87</v>
      </c>
      <c r="C62" s="53">
        <f>+Historicals!C168</f>
        <v>85</v>
      </c>
      <c r="D62" s="53">
        <f>+Historicals!D168</f>
        <v>106</v>
      </c>
      <c r="E62" s="53">
        <f>+Historicals!E168</f>
        <v>116</v>
      </c>
      <c r="F62" s="53">
        <f>+Historicals!F168</f>
        <v>111</v>
      </c>
      <c r="G62" s="53">
        <f>+Historicals!G168</f>
        <v>132</v>
      </c>
      <c r="H62" s="53">
        <f>+Historicals!H168</f>
        <v>136</v>
      </c>
      <c r="I62" s="53">
        <f>+Historicals!I168</f>
        <v>134</v>
      </c>
      <c r="J62">
        <v>120</v>
      </c>
      <c r="K62" s="45">
        <f>I62*(J63+1)</f>
        <v>120.60000000000001</v>
      </c>
      <c r="L62" s="45">
        <f>J62*(K63+1)</f>
        <v>124.33984421927408</v>
      </c>
      <c r="M62" s="45">
        <f>K62*(L63+1)</f>
        <v>125.86144225276973</v>
      </c>
      <c r="N62" s="45">
        <f>L62*(M63+1)</f>
        <v>127.36334994873181</v>
      </c>
    </row>
    <row r="63" spans="1:14" x14ac:dyDescent="0.3">
      <c r="A63" s="43" t="s">
        <v>134</v>
      </c>
      <c r="B63" t="s">
        <v>144</v>
      </c>
      <c r="C63" s="44">
        <f t="shared" ref="C63:I63" si="38">(C62-B62)/C62</f>
        <v>-2.3529411764705882E-2</v>
      </c>
      <c r="D63" s="44">
        <f t="shared" si="38"/>
        <v>0.19811320754716982</v>
      </c>
      <c r="E63" s="44">
        <f t="shared" si="38"/>
        <v>8.6206896551724144E-2</v>
      </c>
      <c r="F63" s="44">
        <f t="shared" si="38"/>
        <v>-4.5045045045045043E-2</v>
      </c>
      <c r="G63" s="44">
        <f t="shared" si="38"/>
        <v>0.15909090909090909</v>
      </c>
      <c r="H63" s="44">
        <f t="shared" si="38"/>
        <v>2.9411764705882353E-2</v>
      </c>
      <c r="I63" s="44">
        <f t="shared" si="38"/>
        <v>-1.4925373134328358E-2</v>
      </c>
      <c r="J63" s="44">
        <v>-0.1</v>
      </c>
      <c r="K63" s="44">
        <f>(SUM(C63:J63))/8</f>
        <v>3.6165368493950759E-2</v>
      </c>
      <c r="L63" s="44">
        <f>(SUM(D63:K63))/8</f>
        <v>4.362721602628284E-2</v>
      </c>
      <c r="M63" s="44">
        <f>(SUM(E63:L63))/8</f>
        <v>2.4316467086171974E-2</v>
      </c>
      <c r="N63" s="44">
        <f>(SUM(F63:M63))/8</f>
        <v>1.6580163402977952E-2</v>
      </c>
    </row>
    <row r="64" spans="1:14" x14ac:dyDescent="0.3">
      <c r="A64" s="43" t="s">
        <v>138</v>
      </c>
      <c r="B64" s="44">
        <f t="shared" ref="B64:N64" si="39">B62/B45</f>
        <v>1.2208812798203761E-2</v>
      </c>
      <c r="C64" s="44">
        <f t="shared" si="39"/>
        <v>1.1231501057082453E-2</v>
      </c>
      <c r="D64" s="44">
        <f t="shared" si="39"/>
        <v>1.3299874529485571E-2</v>
      </c>
      <c r="E64" s="44">
        <f t="shared" si="39"/>
        <v>1.2551395801774508E-2</v>
      </c>
      <c r="F64" s="44">
        <f t="shared" si="39"/>
        <v>1.1312678353037097E-2</v>
      </c>
      <c r="G64" s="44">
        <f t="shared" si="39"/>
        <v>1.4122178239007167E-2</v>
      </c>
      <c r="H64" s="44">
        <f t="shared" si="39"/>
        <v>1.1871508379888268E-2</v>
      </c>
      <c r="I64" s="44">
        <f t="shared" si="39"/>
        <v>1.0738039907043834E-2</v>
      </c>
      <c r="J64" s="44">
        <f t="shared" si="39"/>
        <v>8.7878503679410542E-3</v>
      </c>
      <c r="K64" s="44">
        <f t="shared" si="39"/>
        <v>8.0942822764196159E-3</v>
      </c>
      <c r="L64" s="44">
        <f t="shared" si="39"/>
        <v>7.6230040640934329E-3</v>
      </c>
      <c r="M64" s="44">
        <f t="shared" si="39"/>
        <v>7.0150981331688249E-3</v>
      </c>
      <c r="N64" s="44">
        <f t="shared" si="39"/>
        <v>6.4977709500191674E-3</v>
      </c>
    </row>
    <row r="65" spans="1:14" x14ac:dyDescent="0.3">
      <c r="A65" s="11" t="s">
        <v>139</v>
      </c>
      <c r="B65" s="53">
        <f>+Historicals!B135</f>
        <v>1524</v>
      </c>
      <c r="C65" s="53">
        <f>+Historicals!C135</f>
        <v>1787</v>
      </c>
      <c r="D65" s="53">
        <f>+Historicals!D135</f>
        <v>1507</v>
      </c>
      <c r="E65" s="53">
        <f>+Historicals!E135</f>
        <v>1587</v>
      </c>
      <c r="F65" s="53">
        <f>+Historicals!F135</f>
        <v>1995</v>
      </c>
      <c r="G65" s="53">
        <f>+Historicals!G135</f>
        <v>1541</v>
      </c>
      <c r="H65" s="53">
        <f>+Historicals!H135</f>
        <v>2435</v>
      </c>
      <c r="I65" s="53">
        <f>+Historicals!I135</f>
        <v>3293</v>
      </c>
      <c r="J65">
        <v>3531</v>
      </c>
      <c r="K65" s="45">
        <f>I65*(J66+1)</f>
        <v>3519.1384930388872</v>
      </c>
      <c r="L65" s="45">
        <f>J65*(K66+1)</f>
        <v>3803.792862522122</v>
      </c>
      <c r="M65" s="45">
        <f>K65*(L66+1)</f>
        <v>3760.2588106072531</v>
      </c>
      <c r="N65" s="45">
        <f>L65*(M66+1)</f>
        <v>4185.3376960713913</v>
      </c>
    </row>
    <row r="66" spans="1:14" x14ac:dyDescent="0.3">
      <c r="A66" s="43" t="s">
        <v>134</v>
      </c>
      <c r="B66" t="s">
        <v>144</v>
      </c>
      <c r="C66" s="44">
        <f t="shared" ref="C66:I66" si="40">(C65-B65)/C65</f>
        <v>0.14717403469501958</v>
      </c>
      <c r="D66" s="44">
        <f t="shared" si="40"/>
        <v>-0.18579960185799602</v>
      </c>
      <c r="E66" s="44">
        <f t="shared" si="40"/>
        <v>5.0409577819785757E-2</v>
      </c>
      <c r="F66" s="44">
        <f t="shared" si="40"/>
        <v>0.20451127819548873</v>
      </c>
      <c r="G66" s="44">
        <f t="shared" si="40"/>
        <v>-0.29461388708630759</v>
      </c>
      <c r="H66" s="44">
        <f t="shared" si="40"/>
        <v>0.36714579055441476</v>
      </c>
      <c r="I66" s="44">
        <f t="shared" si="40"/>
        <v>0.26055268751897964</v>
      </c>
      <c r="J66" s="44">
        <f>(SUM(B66:I66))/8</f>
        <v>6.8672484979923107E-2</v>
      </c>
      <c r="K66" s="44">
        <f>(SUM(C66:J66))/8</f>
        <v>7.725654560241349E-2</v>
      </c>
      <c r="L66" s="44">
        <f>(SUM(D66:K66))/8</f>
        <v>6.8516859465837743E-2</v>
      </c>
      <c r="M66" s="44">
        <f>(SUM(E66:L66))/8</f>
        <v>0.10030641713131694</v>
      </c>
      <c r="N66" s="44">
        <f>(SUM(F66:M66))/8</f>
        <v>0.10654352204525834</v>
      </c>
    </row>
    <row r="67" spans="1:14" x14ac:dyDescent="0.3">
      <c r="A67" s="43" t="s">
        <v>136</v>
      </c>
      <c r="B67" s="44">
        <f t="shared" ref="B67:N67" si="41">B65/B45</f>
        <v>0.21386472074094864</v>
      </c>
      <c r="C67" s="44">
        <f t="shared" si="41"/>
        <v>0.23612579281183932</v>
      </c>
      <c r="D67" s="44">
        <f t="shared" si="41"/>
        <v>0.1890840652446675</v>
      </c>
      <c r="E67" s="44">
        <f t="shared" si="41"/>
        <v>0.17171607877082881</v>
      </c>
      <c r="F67" s="44">
        <f t="shared" si="41"/>
        <v>0.20332246229107215</v>
      </c>
      <c r="G67" s="44">
        <f t="shared" si="41"/>
        <v>0.16486573232053064</v>
      </c>
      <c r="H67" s="44">
        <f t="shared" si="41"/>
        <v>0.21255237430167598</v>
      </c>
      <c r="I67" s="44">
        <f t="shared" si="41"/>
        <v>0.26388332398429359</v>
      </c>
      <c r="J67" s="44">
        <f t="shared" si="41"/>
        <v>0.25858249707666553</v>
      </c>
      <c r="K67" s="44">
        <f t="shared" si="41"/>
        <v>0.23619320342015504</v>
      </c>
      <c r="L67" s="44">
        <f t="shared" si="41"/>
        <v>0.23320222598027807</v>
      </c>
      <c r="M67" s="44">
        <f t="shared" si="41"/>
        <v>0.20958431820244039</v>
      </c>
      <c r="N67" s="44">
        <f t="shared" si="41"/>
        <v>0.21352583540319819</v>
      </c>
    </row>
    <row r="68" spans="1:14" x14ac:dyDescent="0.3">
      <c r="A68" s="11" t="s">
        <v>140</v>
      </c>
      <c r="B68" s="53">
        <f>+Historicals!B146</f>
        <v>498</v>
      </c>
      <c r="C68" s="53">
        <f>+Historicals!C146</f>
        <v>639</v>
      </c>
      <c r="D68" s="53">
        <f>+Historicals!D146</f>
        <v>709</v>
      </c>
      <c r="E68" s="53">
        <f>+Historicals!E146</f>
        <v>849</v>
      </c>
      <c r="F68" s="53">
        <f>+Historicals!F146</f>
        <v>929</v>
      </c>
      <c r="G68" s="53">
        <f>+Historicals!G146</f>
        <v>885</v>
      </c>
      <c r="H68" s="53">
        <f>+Historicals!H146</f>
        <v>982</v>
      </c>
      <c r="I68" s="53">
        <f>+Historicals!I146</f>
        <v>920</v>
      </c>
      <c r="J68">
        <v>1009</v>
      </c>
      <c r="K68" s="45">
        <f>I68*(J69+1)</f>
        <v>1012.0000000000001</v>
      </c>
      <c r="L68" s="45">
        <f>J68*(K69+1)</f>
        <v>1091.2424614944125</v>
      </c>
      <c r="M68" s="45">
        <f>K68*(L69+1)</f>
        <v>1076.8847161165745</v>
      </c>
      <c r="N68" s="45">
        <f>L68*(M69+1)</f>
        <v>1156.4861271992486</v>
      </c>
    </row>
    <row r="69" spans="1:14" x14ac:dyDescent="0.3">
      <c r="A69" s="43" t="s">
        <v>134</v>
      </c>
      <c r="B69" s="44" t="s">
        <v>144</v>
      </c>
      <c r="C69" s="44">
        <f t="shared" ref="C69:I69" si="42">(C68-B68)/C68</f>
        <v>0.22065727699530516</v>
      </c>
      <c r="D69" s="44">
        <f t="shared" si="42"/>
        <v>9.8730606488011283E-2</v>
      </c>
      <c r="E69" s="44">
        <f t="shared" si="42"/>
        <v>0.16489988221436985</v>
      </c>
      <c r="F69" s="44">
        <f t="shared" si="42"/>
        <v>8.6114101184068897E-2</v>
      </c>
      <c r="G69" s="44">
        <f t="shared" si="42"/>
        <v>-4.9717514124293788E-2</v>
      </c>
      <c r="H69" s="44">
        <f t="shared" si="42"/>
        <v>9.8778004073319756E-2</v>
      </c>
      <c r="I69" s="44">
        <f t="shared" si="42"/>
        <v>-6.7391304347826086E-2</v>
      </c>
      <c r="J69" s="44">
        <v>0.1</v>
      </c>
      <c r="K69" s="44">
        <f>(SUM(C69:J69))/8</f>
        <v>8.1508881560369381E-2</v>
      </c>
      <c r="L69" s="44">
        <f>(SUM(D69:K69))/8</f>
        <v>6.4115332131002414E-2</v>
      </c>
      <c r="M69" s="44">
        <f>(SUM(E69:L69))/8</f>
        <v>5.9788422836376295E-2</v>
      </c>
      <c r="N69" s="44">
        <f>(SUM(F69:M69))/8</f>
        <v>4.6649490414127109E-2</v>
      </c>
    </row>
    <row r="70" spans="1:14" x14ac:dyDescent="0.3">
      <c r="A70" s="43" t="s">
        <v>138</v>
      </c>
      <c r="B70" s="44">
        <f t="shared" ref="B70:N70" si="43">B68/B45</f>
        <v>6.9884928431097393E-2</v>
      </c>
      <c r="C70" s="44">
        <f t="shared" si="43"/>
        <v>8.4434460887949259E-2</v>
      </c>
      <c r="D70" s="44">
        <f t="shared" si="43"/>
        <v>8.8958594730238399E-2</v>
      </c>
      <c r="E70" s="44">
        <f t="shared" si="43"/>
        <v>9.1863233066435832E-2</v>
      </c>
      <c r="F70" s="44">
        <f t="shared" si="43"/>
        <v>9.4679983693436609E-2</v>
      </c>
      <c r="G70" s="44">
        <f t="shared" si="43"/>
        <v>9.4682785920616241E-2</v>
      </c>
      <c r="H70" s="44">
        <f t="shared" si="43"/>
        <v>8.5719273743016758E-2</v>
      </c>
      <c r="I70" s="44">
        <f t="shared" si="43"/>
        <v>7.37238560782114E-2</v>
      </c>
      <c r="J70" s="44">
        <f t="shared" si="43"/>
        <v>7.3891175177104362E-2</v>
      </c>
      <c r="K70" s="44">
        <f t="shared" si="43"/>
        <v>6.7922169682725131E-2</v>
      </c>
      <c r="L70" s="44">
        <f t="shared" si="43"/>
        <v>6.6901690050483104E-2</v>
      </c>
      <c r="M70" s="44">
        <f t="shared" si="43"/>
        <v>6.0021971991197146E-2</v>
      </c>
      <c r="N70" s="44">
        <f t="shared" si="43"/>
        <v>5.9001133092371788E-2</v>
      </c>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230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dc:description/>
  <cp:lastModifiedBy>Shamla Yoosoof</cp:lastModifiedBy>
  <cp:revision>49</cp:revision>
  <dcterms:created xsi:type="dcterms:W3CDTF">2020-05-20T17:26:08Z</dcterms:created>
  <dcterms:modified xsi:type="dcterms:W3CDTF">2024-02-05T17:06:40Z</dcterms:modified>
  <dc:language>en-GB</dc:language>
</cp:coreProperties>
</file>