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B25259D-C824-4801-8B46-8B685E6E4003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5" l="1"/>
  <c r="T19" i="5"/>
  <c r="S17" i="5"/>
  <c r="S19" i="5"/>
  <c r="B29" i="5"/>
  <c r="B27" i="5"/>
  <c r="B28" i="5" s="1"/>
  <c r="B30" i="5" s="1"/>
  <c r="B31" i="5" s="1"/>
  <c r="B26" i="5"/>
  <c r="M19" i="5"/>
  <c r="L19" i="5"/>
  <c r="N19" i="5"/>
  <c r="O19" i="5"/>
  <c r="P19" i="5"/>
  <c r="Q19" i="5"/>
  <c r="R19" i="5"/>
  <c r="K19" i="5"/>
  <c r="J19" i="5"/>
  <c r="L18" i="5"/>
  <c r="M18" i="5" s="1"/>
  <c r="N18" i="5" s="1"/>
  <c r="O18" i="5" s="1"/>
  <c r="P18" i="5" s="1"/>
  <c r="Q18" i="5" s="1"/>
  <c r="R18" i="5" s="1"/>
  <c r="S18" i="5" s="1"/>
  <c r="T18" i="5" s="1"/>
  <c r="K18" i="5"/>
  <c r="K16" i="5"/>
  <c r="J16" i="5"/>
  <c r="I16" i="5"/>
  <c r="K15" i="5"/>
  <c r="L15" i="5"/>
  <c r="M15" i="5"/>
  <c r="N15" i="5"/>
  <c r="N16" i="5" s="1"/>
  <c r="M16" i="5"/>
  <c r="J15" i="5"/>
  <c r="B9" i="5"/>
  <c r="C19" i="5"/>
  <c r="D19" i="5"/>
  <c r="E19" i="5"/>
  <c r="F19" i="5"/>
  <c r="G19" i="5"/>
  <c r="H19" i="5"/>
  <c r="I19" i="5"/>
  <c r="B19" i="5"/>
  <c r="C10" i="5"/>
  <c r="C23" i="5" s="1"/>
  <c r="D10" i="5"/>
  <c r="D23" i="5" s="1"/>
  <c r="E10" i="5"/>
  <c r="E23" i="5" s="1"/>
  <c r="F10" i="5"/>
  <c r="F23" i="5" s="1"/>
  <c r="G10" i="5"/>
  <c r="G23" i="5" s="1"/>
  <c r="H10" i="5"/>
  <c r="H23" i="5" s="1"/>
  <c r="I10" i="5"/>
  <c r="I23" i="5" s="1"/>
  <c r="B10" i="5"/>
  <c r="B23" i="5" s="1"/>
  <c r="C9" i="5"/>
  <c r="D9" i="5"/>
  <c r="E9" i="5"/>
  <c r="F9" i="5"/>
  <c r="G9" i="5"/>
  <c r="H9" i="5"/>
  <c r="I9" i="5"/>
  <c r="C22" i="5"/>
  <c r="D22" i="5"/>
  <c r="E22" i="5"/>
  <c r="F22" i="5"/>
  <c r="G22" i="5"/>
  <c r="H22" i="5"/>
  <c r="I22" i="5"/>
  <c r="B22" i="5"/>
  <c r="C6" i="3"/>
  <c r="B6" i="3"/>
  <c r="C15" i="5"/>
  <c r="D15" i="5"/>
  <c r="E15" i="5"/>
  <c r="F15" i="5"/>
  <c r="G15" i="5"/>
  <c r="H15" i="5"/>
  <c r="I15" i="5"/>
  <c r="B15" i="5"/>
  <c r="C11" i="5"/>
  <c r="D11" i="5"/>
  <c r="E11" i="5"/>
  <c r="F11" i="5"/>
  <c r="G11" i="5"/>
  <c r="H11" i="5"/>
  <c r="I11" i="5"/>
  <c r="B11" i="5"/>
  <c r="I3" i="5"/>
  <c r="I6" i="5" s="1"/>
  <c r="H3" i="5"/>
  <c r="H6" i="5" s="1"/>
  <c r="G3" i="5"/>
  <c r="G6" i="5" s="1"/>
  <c r="F3" i="5"/>
  <c r="F6" i="5" s="1"/>
  <c r="E3" i="5"/>
  <c r="E4" i="5" s="1"/>
  <c r="D3" i="5"/>
  <c r="D4" i="5" s="1"/>
  <c r="C3" i="5"/>
  <c r="B3" i="5"/>
  <c r="B5" i="5" s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F16" i="5" l="1"/>
  <c r="O15" i="5"/>
  <c r="P15" i="5" s="1"/>
  <c r="Q15" i="5" s="1"/>
  <c r="R15" i="5" s="1"/>
  <c r="B17" i="5"/>
  <c r="J17" i="5"/>
  <c r="O17" i="5"/>
  <c r="P17" i="5"/>
  <c r="L16" i="5"/>
  <c r="C17" i="5"/>
  <c r="F17" i="5"/>
  <c r="E17" i="5"/>
  <c r="C4" i="5"/>
  <c r="C7" i="5" s="1"/>
  <c r="H17" i="5"/>
  <c r="D17" i="5"/>
  <c r="G17" i="5"/>
  <c r="C16" i="5"/>
  <c r="H4" i="5"/>
  <c r="B4" i="5"/>
  <c r="I4" i="5"/>
  <c r="F5" i="5"/>
  <c r="G4" i="5"/>
  <c r="F4" i="5"/>
  <c r="I17" i="5"/>
  <c r="C5" i="5"/>
  <c r="D16" i="5"/>
  <c r="D6" i="5"/>
  <c r="E6" i="5"/>
  <c r="C6" i="5"/>
  <c r="G16" i="5"/>
  <c r="I5" i="5"/>
  <c r="E5" i="5"/>
  <c r="D5" i="5"/>
  <c r="E16" i="5"/>
  <c r="H16" i="5"/>
  <c r="E7" i="5"/>
  <c r="E8" i="5"/>
  <c r="D7" i="5"/>
  <c r="D8" i="5"/>
  <c r="G5" i="5"/>
  <c r="B6" i="5"/>
  <c r="H5" i="5"/>
  <c r="I65" i="4"/>
  <c r="I63" i="4"/>
  <c r="I62" i="4"/>
  <c r="L112" i="1"/>
  <c r="G62" i="4"/>
  <c r="H62" i="4"/>
  <c r="M17" i="5" l="1"/>
  <c r="K17" i="5"/>
  <c r="L17" i="5"/>
  <c r="N17" i="5"/>
  <c r="Q17" i="5"/>
  <c r="C8" i="5"/>
  <c r="S15" i="5"/>
  <c r="R17" i="5"/>
  <c r="B8" i="5"/>
  <c r="B7" i="5"/>
  <c r="F8" i="5"/>
  <c r="F7" i="5"/>
  <c r="G8" i="5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T15" i="5" l="1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<sst xmlns="http://schemas.openxmlformats.org/spreadsheetml/2006/main" count="586" uniqueCount="269">
  <si>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</si>
  <si>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</si>
  <si>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</si>
  <si>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</si>
  <si>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</si>
  <si>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</si>
  <si>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</si>
  <si>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</si>
  <si>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</si>
  <si>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</si>
  <si>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</si>
  <si>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</si>
  <si>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</si>
  <si>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</si>
  <si>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</si>
  <si>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</si>
  <si>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</si>
  <si>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</si>
  <si>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</si>
  <si>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</si>
  <si>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</si>
  <si>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</si>
  <si>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</si>
  <si>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</si>
  <si>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</si>
  <si>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</si>
  <si>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</si>
  <si>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</si>
  <si>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</si>
  <si>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</si>
  <si>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</si>
  <si>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</si>
  <si>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</si>
  <si>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</si>
  <si>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</si>
  <si>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</si>
  <si>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</si>
  <si>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</si>
  <si>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</si>
  <si>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</si>
  <si>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</si>
  <si>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</si>
  <si>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</si>
  <si>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</si>
  <si>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</si>
  <si>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</si>
  <si>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</si>
  <si>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</si>
  <si>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</si>
  <si>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</si>
  <si>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</si>
  <si>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</si>
  <si>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</si>
  <si>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</si>
  <si>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</si>
  <si>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</si>
  <si>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</si>
  <si>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</si>
  <si>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</si>
  <si>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</si>
  <si>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</si>
  <si>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</si>
  <si>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</si>
  <si>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</si>
  <si>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</si>
  <si>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</si>
  <si>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</si>
  <si>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</si>
  <si>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</si>
  <si>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</si>
  <si>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</si>
  <si>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</si>
  <si>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</si>
  <si>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</si>
  <si>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</si>
  <si>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</si>
  <si>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</si>
  <si>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</si>
  <si>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</si>
  <si>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</si>
  <si>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</si>
  <si>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</si>
  <si>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</si>
  <si>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</si>
  <si>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</si>
  <si>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</si>
  <si>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</si>
  <si>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</si>
  <si>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</si>
  <si>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</si>
  <si>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</si>
  <si>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</si>
  <si>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</si>
  <si>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</si>
  <si>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</si>
  <si>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</si>
  <si>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</si>
  <si>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</si>
  <si>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</si>
  <si>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</si>
  <si>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</si>
  <si>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</si>
  <si>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</si>
  <si>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</si>
  <si>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</si>
  <si>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</si>
  <si>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</si>
  <si>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</si>
  <si>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</si>
  <si>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</si>
  <si>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</si>
  <si>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</si>
  <si>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</si>
  <si>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</si>
  <si>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</si>
  <si>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</si>
  <si>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</si>
  <si>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</si>
  <si>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</si>
  <si>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</si>
  <si>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</si>
  <si>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</si>
  <si>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</si>
  <si>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</si>
  <si>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</si>
  <si>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</si>
  <si>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</si>
  <si>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</si>
  <si>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</si>
  <si>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</si>
  <si>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</si>
  <si>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</si>
  <si>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</si>
  <si>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</si>
  <si>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</si>
  <si>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</si>
  <si>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</si>
  <si>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</si>
  <si>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</si>
  <si>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</si>
  <si>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</si>
  <si>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</si>
  <si>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</si>
  <si>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</si>
  <si>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</si>
  <si>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</si>
  <si>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</si>
  <si>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</si>
  <si>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</si>
  <si>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</si>
  <si>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</si>
  <si>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</si>
  <si>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</si>
  <si>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</si>
  <si>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</si>
  <si>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</si>
  <si>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</si>
  <si>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</si>
  <si>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</si>
  <si>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</si>
  <si>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</si>
  <si>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</si>
  <si>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</si>
  <si>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</si>
  <si>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</si>
  <si>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</si>
  <si>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</si>
  <si>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</si>
  <si>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</si>
  <si>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</si>
  <si>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</si>
  <si>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</si>
  <si>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</si>
  <si>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</si>
  <si>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</si>
  <si>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</si>
  <si>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</si>
  <si>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</si>
  <si>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</si>
  <si>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</si>
  <si>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</si>
  <si>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</si>
  <si>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</si>
  <si>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</si>
  <si>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</si>
  <si>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</si>
  <si>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</si>
  <si>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</si>
  <si>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</si>
  <si>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</si>
  <si>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</si>
  <si>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</si>
  <si>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</si>
  <si>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</si>
  <si>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</si>
  <si>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</si>
  <si>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</si>
  <si>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</si>
  <si>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</si>
  <si>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</si>
  <si>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</si>
  <si>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</si>
  <si>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</si>
  <si>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</si>
  <si>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</si>
  <si>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</si>
  <si>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</si>
  <si>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</si>
  <si>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</si>
  <si>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</si>
  <si>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</si>
  <si>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</si>
  <si>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</si>
  <si>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</si>
  <si>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</si>
  <si>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</si>
  <si>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</si>
  <si>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</si>
  <si>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</si>
  <si>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</si>
  <si>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</si>
  <si>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</si>
  <si>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</si>
  <si>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</si>
  <si>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</si>
  <si>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</si>
  <si>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</si>
  <si>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</si>
  <si>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</si>
  <si>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</si>
  <si>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</si>
  <si>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</si>
  <si>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</si>
  <si>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</si>
  <si>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</si>
  <si>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</si>
  <si>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</si>
  <si>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</si>
  <si>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</si>
  <si>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</si>
  <si>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</si>
  <si>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</si>
  <si>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</si>
  <si>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</si>
  <si>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</si>
  <si>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Beta</t>
  </si>
  <si>
    <t>Cost of Equity</t>
  </si>
  <si>
    <t>Rf</t>
  </si>
  <si>
    <t>Rm</t>
  </si>
  <si>
    <t>Cost of Debt</t>
  </si>
  <si>
    <t>Debt Ratio</t>
  </si>
  <si>
    <t>Present Values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</si>
  <si>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</si>
  <si>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</si>
  <si>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</si>
  <si>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</si>
  <si>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</si>
  <si>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</si>
  <si>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Sum all the PVs caluclated in row 19 from year 2023 to 2032 in cell B26</t>
  </si>
  <si>
    <t>Add up the above two answers</t>
  </si>
  <si>
    <t>Value of firm - BV of debt from above two cells</t>
  </si>
  <si>
    <t>Value of equity from above/Three statements sheet I15</t>
  </si>
  <si>
    <t>Link the Discounted PV of terminal value calculated in Cell T19</t>
  </si>
  <si>
    <t>Link Cell I 36 from three statements sheet here</t>
  </si>
  <si>
    <t>Terminal value formula = [FCF*(1+g)]/(WACC-g)</t>
  </si>
  <si>
    <t>Calculate discounted cash flow for the terminal value calculated in cell T17</t>
  </si>
  <si>
    <t>Change T19 in the formula to I17</t>
  </si>
  <si>
    <t>change T15 in the formula to T17</t>
  </si>
  <si>
    <t>increase growth rate to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</si>
</sst>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164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8" fillId="0" borderId="0" xfId="1" applyNumberFormat="1" applyFont="1" applyBorder="1" applyAlignment="1">
      <alignment horizontal="right"/>
    </xf>
    <xf numFmtId="166" fontId="0" fillId="0" borderId="0" xfId="2" applyNumberFormat="1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10" fontId="0" fillId="0" borderId="0" xfId="0" applyNumberFormat="1"/>
    <xf numFmtId="10" fontId="18" fillId="14" borderId="0" xfId="0" applyNumberFormat="1" applyFont="1" applyFill="1"/>
    <xf numFmtId="164" fontId="0" fillId="9" borderId="0" xfId="1" applyFont="1" applyFill="1"/>
    <xf numFmtId="165" fontId="0" fillId="0" borderId="0" xfId="1" applyNumberFormat="1" applyFont="1" applyFill="1"/>
    <xf numFmtId="165" fontId="0" fillId="15" borderId="0" xfId="1" applyNumberFormat="1" applyFont="1" applyFill="1"/>
    <xf numFmtId="165" fontId="0" fillId="0" borderId="0" xfId="1" applyNumberFormat="1" applyFont="1" applyFill="1" applyBorder="1"/>
    <xf numFmtId="165" fontId="0" fillId="0" borderId="8" xfId="0" applyNumberFormat="1" applyBorder="1"/>
    <xf numFmtId="164" fontId="0" fillId="0" borderId="9" xfId="0" applyNumberFormat="1" applyBorder="1"/>
    <xf numFmtId="0" fontId="0" fillId="0" borderId="9" xfId="0" applyBorder="1"/>
    <xf numFmtId="164" fontId="0" fillId="0" borderId="10" xfId="0" applyNumberFormat="1" applyBorder="1"/>
    <xf numFmtId="2" fontId="0" fillId="16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3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3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opLeftCell="A7" zoomScaleNormal="100" workbookViewId="0">
      <selection activeCell="I37" sqref="I37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52.33203125" customWidth="1"/>
    <col min="16" max="17" width="26.664062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3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3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5" thickBot="1" x14ac:dyDescent="0.3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3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5" thickBot="1" x14ac:dyDescent="0.3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3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3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3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3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3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3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3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5" thickTop="1" x14ac:dyDescent="0.3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V31"/>
  <sheetViews>
    <sheetView tabSelected="1" topLeftCell="G6" workbookViewId="0">
      <selection activeCell="U15" sqref="U15"/>
    </sheetView>
  </sheetViews>
  <sheetFormatPr defaultColWidth="11.44140625" defaultRowHeight="14.4" x14ac:dyDescent="0.3"/>
  <cols>
    <col min="1" max="1" width="45.44140625" customWidth="1"/>
    <col min="9" max="9" width="11.6640625" bestFit="1" customWidth="1"/>
    <col min="20" max="20" width="13.6640625" bestFit="1" customWidth="1"/>
    <col min="21" max="21" width="28.77734375" customWidth="1"/>
  </cols>
  <sheetData>
    <row r="1" spans="1:21" ht="43.2" x14ac:dyDescent="0.3">
      <c r="A1" s="78" t="s">
        <v>231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>
        <f>+I1+1</f>
        <v>2023</v>
      </c>
      <c r="K1" s="79">
        <f t="shared" si="0"/>
        <v>2024</v>
      </c>
      <c r="L1" s="79">
        <f t="shared" si="0"/>
        <v>2025</v>
      </c>
      <c r="M1" s="79">
        <f t="shared" si="0"/>
        <v>2026</v>
      </c>
      <c r="N1" s="79">
        <f t="shared" si="0"/>
        <v>2027</v>
      </c>
      <c r="O1" s="79">
        <f t="shared" si="0"/>
        <v>2028</v>
      </c>
      <c r="P1" s="79">
        <f t="shared" si="0"/>
        <v>2029</v>
      </c>
      <c r="Q1" s="79">
        <f t="shared" si="0"/>
        <v>2030</v>
      </c>
      <c r="R1" s="79">
        <f t="shared" si="0"/>
        <v>2031</v>
      </c>
      <c r="S1" s="79">
        <f t="shared" si="0"/>
        <v>2032</v>
      </c>
      <c r="T1" s="80" t="s">
        <v>232</v>
      </c>
    </row>
    <row r="2" spans="1:21" x14ac:dyDescent="0.3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81"/>
      <c r="P2" s="81"/>
      <c r="Q2" s="81"/>
      <c r="R2" s="81"/>
      <c r="S2" s="81"/>
      <c r="T2" s="81"/>
    </row>
    <row r="3" spans="1:21" x14ac:dyDescent="0.3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J3" s="74"/>
      <c r="K3" s="54"/>
      <c r="L3" s="54"/>
      <c r="M3" s="54"/>
      <c r="N3" s="54"/>
    </row>
    <row r="4" spans="1:21" x14ac:dyDescent="0.3">
      <c r="A4" t="s">
        <v>235</v>
      </c>
      <c r="B4" s="3">
        <f>(B3*Sheet2!B15)+('Three Statements'!B33+'Three Statements'!B34+'Three Statements'!B35+'Three Statements'!B36+'Three Statements'!B37+Sheet2!B38)-'Three Statements'!B21</f>
        <v>260541.9375</v>
      </c>
      <c r="C4" s="3">
        <f>(C3*Sheet2!C15)+('Three Statements'!C33+'Three Statements'!C34+'Three Statements'!C35+'Three Statements'!C36+'Three Statements'!C37+Sheet2!C38)-'Three Statements'!C21</f>
        <v>303117.05000000005</v>
      </c>
      <c r="D4" s="3">
        <f>(D3*Sheet2!D15)+('Three Statements'!D33+'Three Statements'!D34+'Three Statements'!D35+'Three Statements'!D36+'Three Statements'!D37+Sheet2!D38)-'Three Statements'!D21</f>
        <v>263022.57666666666</v>
      </c>
      <c r="E4" s="3">
        <f>(E3*Sheet2!E15)+('Three Statements'!E33+'Three Statements'!E34+'Three Statements'!E35+'Three Statements'!E36+'Three Statements'!E37+Sheet2!E38)-'Three Statements'!E21</f>
        <v>371682.36416666664</v>
      </c>
      <c r="F4" s="3">
        <f>(F3*Sheet2!F15)+('Three Statements'!F33+'Three Statements'!F34+'Three Statements'!F35+'Three Statements'!F36+'Three Statements'!F37+Sheet2!F38)-'Three Statements'!F21</f>
        <v>300716.92000000004</v>
      </c>
      <c r="G4" s="3">
        <f>(G3*Sheet2!G15)+('Three Statements'!G33+'Three Statements'!G34+'Three Statements'!G35+'Three Statements'!G36+'Three Statements'!G37+Sheet2!G38)-'Three Statements'!G21</f>
        <v>253533.31</v>
      </c>
      <c r="H4" s="3">
        <f>(H3*Sheet2!H15)+('Three Statements'!H33+'Three Statements'!H34+'Three Statements'!H35+'Three Statements'!H36+'Three Statements'!H37+Sheet2!H38)-'Three Statements'!H21</f>
        <v>695810.40666666673</v>
      </c>
      <c r="I4" s="3">
        <f>(I3*Sheet2!I15)+('Three Statements'!I33+'Three Statements'!I34+'Three Statements'!I35+'Three Statements'!I36+'Three Statements'!I37+Sheet2!I38)-'Three Statements'!I21</f>
        <v>501667.26666666672</v>
      </c>
    </row>
    <row r="5" spans="1:21" x14ac:dyDescent="0.3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1" x14ac:dyDescent="0.3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1" x14ac:dyDescent="0.3">
      <c r="A7" t="s">
        <v>238</v>
      </c>
      <c r="B7" s="54">
        <f>B4/'Three Statements'!B5</f>
        <v>53.842103223806575</v>
      </c>
      <c r="C7" s="54">
        <f>C4/'Three Statements'!C5</f>
        <v>57.07344191301074</v>
      </c>
      <c r="D7" s="54">
        <f>D4/'Three Statements'!D5</f>
        <v>52.436717836257309</v>
      </c>
      <c r="E7" s="54">
        <f>E4/'Three Statements'!E5</f>
        <v>87.045050156128013</v>
      </c>
      <c r="F7" s="54">
        <f>F4/'Three Statements'!F5</f>
        <v>66.062592267135329</v>
      </c>
      <c r="G7" s="54">
        <f>G4/'Three Statements'!G5</f>
        <v>90.41844151212554</v>
      </c>
      <c r="H7" s="54">
        <f>H4/'Three Statements'!H5</f>
        <v>107.84414238479026</v>
      </c>
      <c r="I7" s="54">
        <f>I4/'Three Statements'!I5</f>
        <v>84.101804973456282</v>
      </c>
    </row>
    <row r="8" spans="1:21" x14ac:dyDescent="0.3">
      <c r="A8" t="s">
        <v>239</v>
      </c>
      <c r="B8" s="54">
        <f>B4/'Three Statements'!B53</f>
        <v>55.994398774983878</v>
      </c>
      <c r="C8" s="54">
        <f>C4/'Three Statements'!C53</f>
        <v>56.32052211073951</v>
      </c>
      <c r="D8" s="54">
        <f>D4/'Three Statements'!D53</f>
        <v>56.906658733592963</v>
      </c>
      <c r="E8" s="54">
        <f>E4/'Three Statements'!E53</f>
        <v>74.740069207051405</v>
      </c>
      <c r="F8" s="54">
        <f>F4/'Three Statements'!F53</f>
        <v>73.131546692607017</v>
      </c>
      <c r="G8" s="54">
        <f>G4/'Three Statements'!G53</f>
        <v>111.39424868189806</v>
      </c>
      <c r="H8" s="54">
        <f>H4/'Three Statements'!H53</f>
        <v>129.88807292638916</v>
      </c>
      <c r="I8" s="54">
        <f>I4/'Three Statements'!I53</f>
        <v>118.20623625510525</v>
      </c>
    </row>
    <row r="9" spans="1:21" x14ac:dyDescent="0.3">
      <c r="A9" t="s">
        <v>240</v>
      </c>
      <c r="B9" s="82">
        <f>'Three Statements'!B36/'Three Statements'!B39</f>
        <v>8.4913827024474697E-2</v>
      </c>
      <c r="C9" s="82">
        <f>'Three Statements'!C36/'Three Statements'!C39</f>
        <v>0.16397454723445912</v>
      </c>
      <c r="D9" s="82">
        <f>'Three Statements'!D36/'Three Statements'!D39</f>
        <v>0.27976142500201501</v>
      </c>
      <c r="E9" s="82">
        <f>'Three Statements'!E36/'Three Statements'!E39</f>
        <v>0.35344476151651039</v>
      </c>
      <c r="F9" s="82">
        <f>'Three Statements'!F36/'Three Statements'!F39</f>
        <v>0.38318584070796458</v>
      </c>
      <c r="G9" s="82">
        <f>'Three Statements'!G36/'Three Statements'!G39</f>
        <v>1.1677219118559901</v>
      </c>
      <c r="H9" s="82">
        <f>'Three Statements'!H36/'Three Statements'!H39</f>
        <v>0.73729145453121325</v>
      </c>
      <c r="I9" s="82">
        <f>'Three Statements'!I36/'Three Statements'!I39</f>
        <v>0.58373143118905835</v>
      </c>
    </row>
    <row r="10" spans="1:21" x14ac:dyDescent="0.3">
      <c r="A10" t="s">
        <v>241</v>
      </c>
      <c r="B10" s="82">
        <f>'Three Statements'!B36/('Three Statements'!B36+'Three Statements'!B39)</f>
        <v>7.826780792107936E-2</v>
      </c>
      <c r="C10" s="82">
        <f>'Three Statements'!C36/('Three Statements'!C36+'Three Statements'!C39)</f>
        <v>0.14087468460891506</v>
      </c>
      <c r="D10" s="82">
        <f>'Three Statements'!D36/('Three Statements'!D36+'Three Statements'!D39)</f>
        <v>0.21860435823151531</v>
      </c>
      <c r="E10" s="82">
        <f>'Three Statements'!E36/('Three Statements'!E36+'Three Statements'!E39)</f>
        <v>0.261144578313253</v>
      </c>
      <c r="F10" s="82">
        <f>'Three Statements'!F36/('Three Statements'!F36+'Three Statements'!F39)</f>
        <v>0.27703134996801021</v>
      </c>
      <c r="G10" s="82">
        <f>'Three Statements'!G36/('Three Statements'!G36+'Three Statements'!G39)</f>
        <v>0.53868621499341385</v>
      </c>
      <c r="H10" s="82">
        <f>'Three Statements'!H36/('Three Statements'!H36+'Three Statements'!H39)</f>
        <v>0.42439134355275021</v>
      </c>
      <c r="I10" s="82">
        <f>'Three Statements'!I36/('Three Statements'!I36+'Three Statements'!I39)</f>
        <v>0.36857981075162183</v>
      </c>
    </row>
    <row r="11" spans="1:21" x14ac:dyDescent="0.3">
      <c r="A11" t="s">
        <v>242</v>
      </c>
      <c r="B11" s="82">
        <f>'Three Statements'!B14/'Three Statements'!B39</f>
        <v>0.26394900448571651</v>
      </c>
      <c r="C11" s="82">
        <f>'Three Statements'!C14/'Three Statements'!C39</f>
        <v>0.3067384565181922</v>
      </c>
      <c r="D11" s="82">
        <f>'Three Statements'!D14/'Three Statements'!D39</f>
        <v>0.34174256468122832</v>
      </c>
      <c r="E11" s="82">
        <f>'Three Statements'!E14/'Three Statements'!E39</f>
        <v>0.19700366897676314</v>
      </c>
      <c r="F11" s="82">
        <f>'Three Statements'!F14/'Three Statements'!F39</f>
        <v>0.44568584070796458</v>
      </c>
      <c r="G11" s="82">
        <f>'Three Statements'!G14/'Three Statements'!G39</f>
        <v>0.31520794537554314</v>
      </c>
      <c r="H11" s="82">
        <f>'Three Statements'!H14/'Three Statements'!H39</f>
        <v>0.44857836610010182</v>
      </c>
      <c r="I11" s="82">
        <f>'Three Statements'!I14/'Three Statements'!I39</f>
        <v>0.3956547346377855</v>
      </c>
    </row>
    <row r="15" spans="1:21" x14ac:dyDescent="0.3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>
        <f>'Three Statements'!K53</f>
        <v>7912.4120463604013</v>
      </c>
      <c r="L15" s="3">
        <f>'Three Statements'!L53</f>
        <v>8666.7985179187908</v>
      </c>
      <c r="M15" s="3">
        <f>'Three Statements'!M53</f>
        <v>9560.6643711131965</v>
      </c>
      <c r="N15" s="3">
        <f>'Three Statements'!N53</f>
        <v>10619.478768512841</v>
      </c>
      <c r="O15" s="3">
        <f>N15*(1+O16)</f>
        <v>11469.037069993868</v>
      </c>
      <c r="P15" s="3">
        <f t="shared" ref="P15" si="1">O15*(1+P16)</f>
        <v>12386.560035593378</v>
      </c>
      <c r="Q15" s="3">
        <f t="shared" ref="Q15" si="2">P15*(1+Q16)</f>
        <v>13377.484838440849</v>
      </c>
      <c r="R15" s="3">
        <f t="shared" ref="R15" si="3">Q15*(1+R16)</f>
        <v>14447.683625516118</v>
      </c>
      <c r="S15" s="3">
        <f>R15*(1+S16)</f>
        <v>15603.498315557408</v>
      </c>
      <c r="T15" s="3">
        <f>S15*(1+T16)</f>
        <v>16851.778180802001</v>
      </c>
    </row>
    <row r="16" spans="1:21" x14ac:dyDescent="0.3">
      <c r="A16" s="83" t="s">
        <v>129</v>
      </c>
      <c r="B16" s="84">
        <v>0</v>
      </c>
      <c r="C16" s="84">
        <f t="shared" ref="C16:H16" si="4">+IFERROR(C15/B15-1,"nm")</f>
        <v>0.15667311411992269</v>
      </c>
      <c r="D16" s="84">
        <f t="shared" si="4"/>
        <v>-0.14121144555927168</v>
      </c>
      <c r="E16" s="84">
        <f t="shared" si="4"/>
        <v>7.5941151016875708E-2</v>
      </c>
      <c r="F16" s="84">
        <f t="shared" si="4"/>
        <v>-0.1731349286145184</v>
      </c>
      <c r="G16" s="84">
        <f t="shared" si="4"/>
        <v>-0.44649805447470814</v>
      </c>
      <c r="H16" s="84">
        <f t="shared" si="4"/>
        <v>1.3536906854130053</v>
      </c>
      <c r="I16" s="84">
        <f>+IFERROR(I15/H15-1,"nm")</f>
        <v>-0.20776554041441109</v>
      </c>
      <c r="J16" s="84">
        <f>+IFERROR(J15/I15-1,"nm")</f>
        <v>0.80213117790868793</v>
      </c>
      <c r="K16" s="84">
        <f>+IFERROR(K15/J15-1,"nm")</f>
        <v>3.453960183284166E-2</v>
      </c>
      <c r="L16" s="84">
        <f t="shared" ref="L16" si="5">+IFERROR(L15/K15-1,"nm")</f>
        <v>9.5342162053529078E-2</v>
      </c>
      <c r="M16" s="84">
        <f t="shared" ref="M16" si="6">+IFERROR(M15/L15-1,"nm")</f>
        <v>0.10313679859365821</v>
      </c>
      <c r="N16" s="84">
        <f t="shared" ref="N16" si="7">+IFERROR(N15/M15-1,"nm")</f>
        <v>0.11074694773291793</v>
      </c>
      <c r="O16" s="84">
        <v>0.08</v>
      </c>
      <c r="P16" s="90">
        <v>0.08</v>
      </c>
      <c r="Q16" s="90">
        <v>0.08</v>
      </c>
      <c r="R16" s="90">
        <v>0.08</v>
      </c>
      <c r="S16" s="90">
        <v>0.08</v>
      </c>
      <c r="T16" s="90">
        <v>0.08</v>
      </c>
      <c r="U16" t="s">
        <v>268</v>
      </c>
    </row>
    <row r="17" spans="1:22" x14ac:dyDescent="0.3">
      <c r="A17" t="s">
        <v>244</v>
      </c>
      <c r="B17" s="89">
        <f>(B19/(1-B23))+(B22/B23)</f>
        <v>1.5922681321719245</v>
      </c>
      <c r="C17" s="89">
        <f t="shared" ref="C17:I17" si="8">(C19/(1-C23))+(C22/C23)</f>
        <v>0.93632818176775057</v>
      </c>
      <c r="D17" s="89">
        <f t="shared" si="8"/>
        <v>0.43251931095007518</v>
      </c>
      <c r="E17" s="89">
        <f t="shared" si="8"/>
        <v>0.78637734438252571</v>
      </c>
      <c r="F17" s="89">
        <f t="shared" si="8"/>
        <v>0.51137182320286334</v>
      </c>
      <c r="G17" s="89">
        <f t="shared" si="8"/>
        <v>0.16252742022946232</v>
      </c>
      <c r="H17" s="89">
        <f t="shared" si="8"/>
        <v>0.48268985640818585</v>
      </c>
      <c r="I17" s="89">
        <f t="shared" si="8"/>
        <v>0.2231417682051248</v>
      </c>
      <c r="J17" s="91">
        <f>J15/(1+I17)</f>
        <v>6252.9503266557049</v>
      </c>
      <c r="K17" s="91">
        <f>K15/(1+I17)</f>
        <v>6468.9247412189297</v>
      </c>
      <c r="L17" s="91">
        <f>L15/(1+I17)</f>
        <v>7085.686012208309</v>
      </c>
      <c r="M17" s="91">
        <f>M15/(1+I17)</f>
        <v>7816.4809833473382</v>
      </c>
      <c r="N17" s="91">
        <f>N15/(1+I17)</f>
        <v>8682.1323942654544</v>
      </c>
      <c r="O17" s="91">
        <f>O15/(1+I17)</f>
        <v>9376.702985806689</v>
      </c>
      <c r="P17" s="91">
        <f>P15/(1+I17)</f>
        <v>10126.839224671225</v>
      </c>
      <c r="Q17" s="91">
        <f>Q15/(1+I17)</f>
        <v>10936.986362644924</v>
      </c>
      <c r="R17" s="91">
        <f>R15/(1+I17)</f>
        <v>11811.945271656517</v>
      </c>
      <c r="S17" s="91">
        <f>S15/(1+I17)</f>
        <v>12756.90089338904</v>
      </c>
      <c r="T17" s="99">
        <f>(T15*(1+T16))/(T19-T16)</f>
        <v>1.3210007801694787</v>
      </c>
      <c r="U17" t="s">
        <v>266</v>
      </c>
      <c r="V17" t="s">
        <v>264</v>
      </c>
    </row>
    <row r="18" spans="1:22" x14ac:dyDescent="0.3">
      <c r="A18" s="2" t="s">
        <v>245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J18">
        <v>1</v>
      </c>
      <c r="K18">
        <f>+J18+1</f>
        <v>2</v>
      </c>
      <c r="L18">
        <f t="shared" ref="L18:T18" si="9">+K18+1</f>
        <v>3</v>
      </c>
      <c r="M18">
        <f t="shared" si="9"/>
        <v>4</v>
      </c>
      <c r="N18">
        <f t="shared" si="9"/>
        <v>5</v>
      </c>
      <c r="O18">
        <f t="shared" si="9"/>
        <v>6</v>
      </c>
      <c r="P18">
        <f t="shared" si="9"/>
        <v>7</v>
      </c>
      <c r="Q18">
        <f t="shared" si="9"/>
        <v>8</v>
      </c>
      <c r="R18">
        <f t="shared" si="9"/>
        <v>9</v>
      </c>
      <c r="S18">
        <f t="shared" si="9"/>
        <v>10</v>
      </c>
      <c r="T18">
        <f t="shared" si="9"/>
        <v>11</v>
      </c>
    </row>
    <row r="19" spans="1:22" x14ac:dyDescent="0.3">
      <c r="A19" s="2" t="s">
        <v>246</v>
      </c>
      <c r="B19" s="85">
        <f>(B20+B18)*(B21-B20)</f>
        <v>-1.5107820000000003E-2</v>
      </c>
      <c r="C19" s="85">
        <f t="shared" ref="C19:I19" si="10">(C20+C18)*(C21-C20)</f>
        <v>4.6828320000000007E-2</v>
      </c>
      <c r="D19" s="85">
        <f t="shared" si="10"/>
        <v>7.568902000000001E-2</v>
      </c>
      <c r="E19" s="85">
        <f t="shared" si="10"/>
        <v>-6.6915450000000001E-2</v>
      </c>
      <c r="F19" s="85">
        <f t="shared" si="10"/>
        <v>0.20271961999999999</v>
      </c>
      <c r="G19" s="85">
        <f t="shared" si="10"/>
        <v>6.0811199999999989E-2</v>
      </c>
      <c r="H19" s="85">
        <f t="shared" si="10"/>
        <v>0.22061504999999998</v>
      </c>
      <c r="I19" s="85">
        <f t="shared" si="10"/>
        <v>9.3094559999999979E-2</v>
      </c>
      <c r="J19" s="92">
        <f>J15/((1+$I$17)^J18)</f>
        <v>6252.9503266557049</v>
      </c>
      <c r="K19" s="93">
        <f>K15/((1+$I$17)^K18)</f>
        <v>5288.7775639545243</v>
      </c>
      <c r="L19" s="93">
        <f>L15/((1+$I$17)^L18)</f>
        <v>4736.181203281938</v>
      </c>
      <c r="M19" s="93">
        <f>M15/((1+$I$17)^M18)</f>
        <v>4271.5046660655826</v>
      </c>
      <c r="N19" s="93">
        <f t="shared" ref="N19:R19" si="11">N15/((1+$I$17)^N18)</f>
        <v>3878.9949729388886</v>
      </c>
      <c r="O19" s="93">
        <f t="shared" si="11"/>
        <v>3425.0441605976112</v>
      </c>
      <c r="P19" s="93">
        <f t="shared" si="11"/>
        <v>3024.21827918894</v>
      </c>
      <c r="Q19" s="93">
        <f t="shared" si="11"/>
        <v>2670.3002271902719</v>
      </c>
      <c r="R19" s="93">
        <f t="shared" si="11"/>
        <v>2357.800477697243</v>
      </c>
      <c r="S19" s="93">
        <f>S15/((1+$I$17)^S18)</f>
        <v>2081.871931860951</v>
      </c>
      <c r="T19" s="92">
        <f>T15/(1+$I$17)</f>
        <v>13777.452964860164</v>
      </c>
      <c r="U19" t="s">
        <v>267</v>
      </c>
      <c r="V19" t="s">
        <v>265</v>
      </c>
    </row>
    <row r="20" spans="1:22" x14ac:dyDescent="0.3">
      <c r="A20" s="2" t="s">
        <v>247</v>
      </c>
      <c r="B20" s="85">
        <v>2.3E-2</v>
      </c>
      <c r="C20" s="89">
        <v>2.5999999999999999E-2</v>
      </c>
      <c r="D20" s="89">
        <v>2.35E-2</v>
      </c>
      <c r="E20" s="89">
        <v>2.86E-2</v>
      </c>
      <c r="F20" s="89">
        <v>1.89E-2</v>
      </c>
      <c r="G20" s="89">
        <v>9.1999999999999998E-2</v>
      </c>
      <c r="H20" s="89">
        <v>1.44E-2</v>
      </c>
      <c r="I20" s="85">
        <v>3.4799999999999998E-2</v>
      </c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2" x14ac:dyDescent="0.3">
      <c r="A21" s="2" t="s">
        <v>248</v>
      </c>
      <c r="B21" s="85">
        <v>4.7999999999999996E-3</v>
      </c>
      <c r="C21" s="85">
        <v>9.8400000000000001E-2</v>
      </c>
      <c r="D21" s="85">
        <v>0.18740000000000001</v>
      </c>
      <c r="E21" s="85">
        <v>-6.59E-2</v>
      </c>
      <c r="F21" s="89">
        <v>0.30430000000000001</v>
      </c>
      <c r="G21" s="89">
        <v>0.15759999999999999</v>
      </c>
      <c r="H21" s="89">
        <v>0.2661</v>
      </c>
      <c r="I21" s="85">
        <v>0.12839999999999999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22" x14ac:dyDescent="0.3">
      <c r="A22" s="2" t="s">
        <v>249</v>
      </c>
      <c r="B22" s="85">
        <f>'Three Statements'!B12/('Three Statements'!B33+'Three Statements'!B34+'Three Statements'!B35+'Three Statements'!B36+'Three Statements'!B37+'Three Statements'!B38)</f>
        <v>0.12590619914188489</v>
      </c>
      <c r="C22" s="85">
        <f>'Three Statements'!C12/('Three Statements'!C33+'Three Statements'!C34+'Three Statements'!C35+'Three Statements'!C36+'Three Statements'!C37+'Three Statements'!C38)</f>
        <v>0.12422628472722039</v>
      </c>
      <c r="D22" s="85">
        <f>'Three Statements'!D12/('Three Statements'!D33+'Three Statements'!D34+'Three Statements'!D35+'Three Statements'!D36+'Three Statements'!D37+'Three Statements'!D38)</f>
        <v>7.3375738300772375E-2</v>
      </c>
      <c r="E22" s="85">
        <f>'Three Statements'!E12/('Three Statements'!E33+'Three Statements'!E34+'Three Statements'!E35+'Three Statements'!E36+'Three Statements'!E37+'Three Statements'!E38)</f>
        <v>0.22900909526089039</v>
      </c>
      <c r="F22" s="85">
        <f>'Three Statements'!F12/('Three Statements'!F33+'Three Statements'!F34+'Three Statements'!F35+'Three Statements'!F36+'Three Statements'!F37+'Three Statements'!F38)</f>
        <v>6.3986738499792792E-2</v>
      </c>
      <c r="G22" s="85">
        <f>'Three Statements'!G12/('Three Statements'!G33+'Three Statements'!G34+'Three Statements'!G35+'Three Statements'!G36+'Three Statements'!G37+'Three Statements'!G38)</f>
        <v>1.6540710109796092E-2</v>
      </c>
      <c r="H22" s="85">
        <f>'Three Statements'!H12/('Three Statements'!H33+'Three Statements'!H34+'Three Statements'!H35+'Three Statements'!H36+'Three Statements'!H37+'Three Statements'!H38)</f>
        <v>4.2191805574377739E-2</v>
      </c>
      <c r="I22" s="85">
        <f>'Three Statements'!I12/('Three Statements'!I33+'Three Statements'!I34+'Three Statements'!I35+'Three Statements'!I36+'Three Statements'!I37+'Three Statements'!I38)</f>
        <v>2.790332995111152E-2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22" x14ac:dyDescent="0.3">
      <c r="A23" s="2" t="s">
        <v>250</v>
      </c>
      <c r="B23" s="85">
        <f>B10</f>
        <v>7.826780792107936E-2</v>
      </c>
      <c r="C23" s="85">
        <f t="shared" ref="C23:I23" si="12">C10</f>
        <v>0.14087468460891506</v>
      </c>
      <c r="D23" s="85">
        <f t="shared" si="12"/>
        <v>0.21860435823151531</v>
      </c>
      <c r="E23" s="85">
        <f t="shared" si="12"/>
        <v>0.261144578313253</v>
      </c>
      <c r="F23" s="85">
        <f t="shared" si="12"/>
        <v>0.27703134996801021</v>
      </c>
      <c r="G23" s="85">
        <f t="shared" si="12"/>
        <v>0.53868621499341385</v>
      </c>
      <c r="H23" s="85">
        <f t="shared" si="12"/>
        <v>0.42439134355275021</v>
      </c>
      <c r="I23" s="85">
        <f t="shared" si="12"/>
        <v>0.36857981075162183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2" x14ac:dyDescent="0.3">
      <c r="A24" t="s">
        <v>251</v>
      </c>
      <c r="J24" s="3"/>
      <c r="K24" s="3"/>
      <c r="L24" s="3"/>
      <c r="M24" s="3"/>
      <c r="N24" s="3"/>
    </row>
    <row r="25" spans="1:22" ht="15" thickBot="1" x14ac:dyDescent="0.35">
      <c r="J25" s="3"/>
      <c r="K25" s="3"/>
      <c r="L25" s="3"/>
      <c r="M25" s="3"/>
      <c r="N25" s="3"/>
    </row>
    <row r="26" spans="1:22" x14ac:dyDescent="0.3">
      <c r="A26" s="86" t="s">
        <v>252</v>
      </c>
      <c r="B26" s="95">
        <f>J19+K19+L19+M19+N19+O19+P19+Q19+R19+S19</f>
        <v>37987.643809431662</v>
      </c>
      <c r="J26" s="3"/>
      <c r="K26" s="3" t="s">
        <v>258</v>
      </c>
      <c r="L26" s="3"/>
      <c r="M26" s="3"/>
      <c r="N26" s="3"/>
    </row>
    <row r="27" spans="1:22" x14ac:dyDescent="0.3">
      <c r="A27" s="87" t="s">
        <v>253</v>
      </c>
      <c r="B27" s="96">
        <f>T19</f>
        <v>13777.452964860164</v>
      </c>
      <c r="C27" s="74"/>
      <c r="D27" s="74"/>
      <c r="E27" s="74"/>
      <c r="F27" s="74"/>
      <c r="G27" s="74"/>
      <c r="H27" s="74"/>
      <c r="I27" s="74"/>
      <c r="J27" s="3" t="s">
        <v>262</v>
      </c>
      <c r="K27" s="3"/>
      <c r="L27" s="3"/>
      <c r="M27" s="3"/>
      <c r="N27" s="3"/>
    </row>
    <row r="28" spans="1:22" x14ac:dyDescent="0.3">
      <c r="A28" s="87" t="s">
        <v>254</v>
      </c>
      <c r="B28" s="96">
        <f>B26+B27</f>
        <v>51765.096774291829</v>
      </c>
      <c r="C28" s="74"/>
      <c r="D28" s="74"/>
      <c r="E28" s="74"/>
      <c r="F28" s="74"/>
      <c r="G28" s="74"/>
      <c r="H28" s="74"/>
      <c r="I28" s="74"/>
      <c r="J28" t="s">
        <v>259</v>
      </c>
    </row>
    <row r="29" spans="1:22" x14ac:dyDescent="0.3">
      <c r="A29" s="87" t="s">
        <v>255</v>
      </c>
      <c r="B29" s="97">
        <f>'Three Statements'!I36</f>
        <v>8920</v>
      </c>
      <c r="J29" s="94" t="s">
        <v>263</v>
      </c>
    </row>
    <row r="30" spans="1:22" x14ac:dyDescent="0.3">
      <c r="A30" s="87" t="s">
        <v>256</v>
      </c>
      <c r="B30" s="96">
        <f>B28-B29</f>
        <v>42845.096774291829</v>
      </c>
      <c r="J30" s="94" t="s">
        <v>260</v>
      </c>
    </row>
    <row r="31" spans="1:22" ht="15" thickBot="1" x14ac:dyDescent="0.35">
      <c r="A31" s="88" t="s">
        <v>257</v>
      </c>
      <c r="B31" s="98">
        <f>B30/'Three Statements'!I15</f>
        <v>26.598644632661927</v>
      </c>
      <c r="J31" s="94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2024-02-08T17:18:45Z</dcterms:modified>
</cp:coreProperties>
</file>