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AF0769C-7BD6-4055-A011-89D9A01BFF94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Sheet1" sheetId="1" r:id="rId1"/>
    <sheet name="Historicals" sheetId="2" r:id="rId2"/>
    <sheet name="Segmental forecast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9" i="3" l="1"/>
  <c r="I210" i="3" s="1"/>
  <c r="H209" i="3"/>
  <c r="G209" i="3"/>
  <c r="G210" i="3" s="1"/>
  <c r="F209" i="3"/>
  <c r="F210" i="3" s="1"/>
  <c r="E209" i="3"/>
  <c r="D209" i="3"/>
  <c r="C209" i="3"/>
  <c r="B209" i="3"/>
  <c r="H208" i="3"/>
  <c r="F208" i="3"/>
  <c r="C208" i="3"/>
  <c r="I207" i="3"/>
  <c r="H207" i="3"/>
  <c r="G207" i="3"/>
  <c r="F207" i="3"/>
  <c r="E207" i="3"/>
  <c r="D207" i="3"/>
  <c r="C207" i="3"/>
  <c r="B207" i="3"/>
  <c r="J206" i="3"/>
  <c r="K206" i="3" s="1"/>
  <c r="F205" i="3"/>
  <c r="D204" i="3"/>
  <c r="B204" i="3"/>
  <c r="I203" i="3"/>
  <c r="I204" i="3" s="1"/>
  <c r="H203" i="3"/>
  <c r="G203" i="3"/>
  <c r="F203" i="3"/>
  <c r="E203" i="3"/>
  <c r="D203" i="3"/>
  <c r="C203" i="3"/>
  <c r="B203" i="3"/>
  <c r="F202" i="3"/>
  <c r="B201" i="3"/>
  <c r="I200" i="3"/>
  <c r="I202" i="3" s="1"/>
  <c r="H200" i="3"/>
  <c r="G200" i="3"/>
  <c r="G201" i="3" s="1"/>
  <c r="F200" i="3"/>
  <c r="E200" i="3"/>
  <c r="D200" i="3"/>
  <c r="C200" i="3"/>
  <c r="B200" i="3"/>
  <c r="D197" i="3"/>
  <c r="I196" i="3"/>
  <c r="G196" i="3"/>
  <c r="F196" i="3"/>
  <c r="C196" i="3"/>
  <c r="J195" i="3"/>
  <c r="I195" i="3"/>
  <c r="I208" i="3" s="1"/>
  <c r="H195" i="3"/>
  <c r="G195" i="3"/>
  <c r="F195" i="3"/>
  <c r="E195" i="3"/>
  <c r="E208" i="3" s="1"/>
  <c r="D195" i="3"/>
  <c r="C195" i="3"/>
  <c r="B195" i="3"/>
  <c r="B196" i="3" s="1"/>
  <c r="I192" i="3"/>
  <c r="G192" i="3"/>
  <c r="E192" i="3"/>
  <c r="I191" i="3"/>
  <c r="J191" i="3" s="1"/>
  <c r="H191" i="3"/>
  <c r="G191" i="3"/>
  <c r="F191" i="3"/>
  <c r="E191" i="3"/>
  <c r="D191" i="3"/>
  <c r="C191" i="3"/>
  <c r="B191" i="3"/>
  <c r="F190" i="3"/>
  <c r="I189" i="3"/>
  <c r="H189" i="3"/>
  <c r="G189" i="3"/>
  <c r="F189" i="3"/>
  <c r="E189" i="3"/>
  <c r="D189" i="3"/>
  <c r="C189" i="3"/>
  <c r="B189" i="3"/>
  <c r="J188" i="3"/>
  <c r="K188" i="3" s="1"/>
  <c r="L188" i="3" s="1"/>
  <c r="G186" i="3"/>
  <c r="I185" i="3"/>
  <c r="H185" i="3"/>
  <c r="G185" i="3"/>
  <c r="F185" i="3"/>
  <c r="E185" i="3"/>
  <c r="E186" i="3" s="1"/>
  <c r="D185" i="3"/>
  <c r="D186" i="3" s="1"/>
  <c r="C185" i="3"/>
  <c r="B185" i="3"/>
  <c r="F184" i="3"/>
  <c r="C184" i="3"/>
  <c r="I181" i="3"/>
  <c r="H181" i="3"/>
  <c r="G181" i="3"/>
  <c r="F181" i="3"/>
  <c r="F178" i="3" s="1"/>
  <c r="E181" i="3"/>
  <c r="E178" i="3" s="1"/>
  <c r="D181" i="3"/>
  <c r="D182" i="3" s="1"/>
  <c r="C181" i="3"/>
  <c r="C178" i="3" s="1"/>
  <c r="B181" i="3"/>
  <c r="F180" i="3"/>
  <c r="I176" i="3"/>
  <c r="I174" i="3"/>
  <c r="H174" i="3"/>
  <c r="G174" i="3"/>
  <c r="F174" i="3"/>
  <c r="E174" i="3"/>
  <c r="D174" i="3"/>
  <c r="D175" i="3" s="1"/>
  <c r="C174" i="3"/>
  <c r="B174" i="3"/>
  <c r="I172" i="3"/>
  <c r="F172" i="3"/>
  <c r="I170" i="3"/>
  <c r="H170" i="3"/>
  <c r="G170" i="3"/>
  <c r="F170" i="3"/>
  <c r="F171" i="3" s="1"/>
  <c r="E170" i="3"/>
  <c r="D170" i="3"/>
  <c r="C170" i="3"/>
  <c r="B170" i="3"/>
  <c r="B171" i="3" s="1"/>
  <c r="I168" i="3"/>
  <c r="E168" i="3"/>
  <c r="B167" i="3"/>
  <c r="I166" i="3"/>
  <c r="H166" i="3"/>
  <c r="H164" i="3" s="1"/>
  <c r="H193" i="3" s="1"/>
  <c r="G166" i="3"/>
  <c r="F166" i="3"/>
  <c r="F164" i="3" s="1"/>
  <c r="E166" i="3"/>
  <c r="D166" i="3"/>
  <c r="D167" i="3" s="1"/>
  <c r="C166" i="3"/>
  <c r="B166" i="3"/>
  <c r="E161" i="3"/>
  <c r="I160" i="3"/>
  <c r="J160" i="3" s="1"/>
  <c r="H160" i="3"/>
  <c r="H161" i="3" s="1"/>
  <c r="G160" i="3"/>
  <c r="F160" i="3"/>
  <c r="E160" i="3"/>
  <c r="D160" i="3"/>
  <c r="C160" i="3"/>
  <c r="C161" i="3" s="1"/>
  <c r="B160" i="3"/>
  <c r="I158" i="3"/>
  <c r="H158" i="3"/>
  <c r="G158" i="3"/>
  <c r="F158" i="3"/>
  <c r="E158" i="3"/>
  <c r="D158" i="3"/>
  <c r="C158" i="3"/>
  <c r="B158" i="3"/>
  <c r="J157" i="3"/>
  <c r="K157" i="3" s="1"/>
  <c r="I154" i="3"/>
  <c r="I155" i="3" s="1"/>
  <c r="H154" i="3"/>
  <c r="G154" i="3"/>
  <c r="F154" i="3"/>
  <c r="E154" i="3"/>
  <c r="E11" i="3" s="1"/>
  <c r="D154" i="3"/>
  <c r="D147" i="3" s="1"/>
  <c r="C154" i="3"/>
  <c r="B154" i="3"/>
  <c r="C151" i="3"/>
  <c r="I150" i="3"/>
  <c r="I147" i="3" s="1"/>
  <c r="H150" i="3"/>
  <c r="H152" i="3" s="1"/>
  <c r="G150" i="3"/>
  <c r="G153" i="3" s="1"/>
  <c r="F150" i="3"/>
  <c r="F147" i="3" s="1"/>
  <c r="E150" i="3"/>
  <c r="D150" i="3"/>
  <c r="C150" i="3"/>
  <c r="B150" i="3"/>
  <c r="B151" i="3" s="1"/>
  <c r="C147" i="3"/>
  <c r="I145" i="3"/>
  <c r="F145" i="3"/>
  <c r="E145" i="3"/>
  <c r="H144" i="3"/>
  <c r="H146" i="3" s="1"/>
  <c r="I143" i="3"/>
  <c r="H143" i="3"/>
  <c r="G143" i="3"/>
  <c r="F143" i="3"/>
  <c r="F144" i="3" s="1"/>
  <c r="E143" i="3"/>
  <c r="E144" i="3" s="1"/>
  <c r="E146" i="3" s="1"/>
  <c r="D143" i="3"/>
  <c r="C143" i="3"/>
  <c r="B143" i="3"/>
  <c r="B144" i="3" s="1"/>
  <c r="I141" i="3"/>
  <c r="B141" i="3"/>
  <c r="I139" i="3"/>
  <c r="H139" i="3"/>
  <c r="H140" i="3" s="1"/>
  <c r="G139" i="3"/>
  <c r="F139" i="3"/>
  <c r="E139" i="3"/>
  <c r="E140" i="3" s="1"/>
  <c r="D139" i="3"/>
  <c r="C139" i="3"/>
  <c r="B139" i="3"/>
  <c r="B140" i="3" s="1"/>
  <c r="I137" i="3"/>
  <c r="B137" i="3"/>
  <c r="C136" i="3"/>
  <c r="B136" i="3"/>
  <c r="I135" i="3"/>
  <c r="H135" i="3"/>
  <c r="H133" i="3" s="1"/>
  <c r="G135" i="3"/>
  <c r="F135" i="3"/>
  <c r="F136" i="3" s="1"/>
  <c r="E135" i="3"/>
  <c r="E136" i="3" s="1"/>
  <c r="D135" i="3"/>
  <c r="C135" i="3"/>
  <c r="B135" i="3"/>
  <c r="I129" i="3"/>
  <c r="J129" i="3" s="1"/>
  <c r="H129" i="3"/>
  <c r="H130" i="3" s="1"/>
  <c r="G129" i="3"/>
  <c r="G122" i="3" s="1"/>
  <c r="F129" i="3"/>
  <c r="F122" i="3" s="1"/>
  <c r="E129" i="3"/>
  <c r="D129" i="3"/>
  <c r="C129" i="3"/>
  <c r="B129" i="3"/>
  <c r="E128" i="3"/>
  <c r="I127" i="3"/>
  <c r="H127" i="3"/>
  <c r="G127" i="3"/>
  <c r="F127" i="3"/>
  <c r="E127" i="3"/>
  <c r="D127" i="3"/>
  <c r="C127" i="3"/>
  <c r="B127" i="3"/>
  <c r="J126" i="3"/>
  <c r="K126" i="3" s="1"/>
  <c r="L126" i="3" s="1"/>
  <c r="M126" i="3" s="1"/>
  <c r="G125" i="3"/>
  <c r="E125" i="3"/>
  <c r="D125" i="3"/>
  <c r="H124" i="3"/>
  <c r="D124" i="3"/>
  <c r="C124" i="3"/>
  <c r="I123" i="3"/>
  <c r="I124" i="3" s="1"/>
  <c r="H123" i="3"/>
  <c r="G123" i="3"/>
  <c r="F123" i="3"/>
  <c r="E123" i="3"/>
  <c r="D123" i="3"/>
  <c r="C123" i="3"/>
  <c r="B123" i="3"/>
  <c r="G121" i="3"/>
  <c r="F121" i="3"/>
  <c r="I119" i="3"/>
  <c r="H119" i="3"/>
  <c r="G119" i="3"/>
  <c r="G116" i="3" s="1"/>
  <c r="F119" i="3"/>
  <c r="E119" i="3"/>
  <c r="D119" i="3"/>
  <c r="C119" i="3"/>
  <c r="B119" i="3"/>
  <c r="B121" i="3" s="1"/>
  <c r="I114" i="3"/>
  <c r="B113" i="3"/>
  <c r="I112" i="3"/>
  <c r="J112" i="3" s="1"/>
  <c r="K112" i="3" s="1"/>
  <c r="L112" i="3" s="1"/>
  <c r="M112" i="3" s="1"/>
  <c r="N112" i="3" s="1"/>
  <c r="H112" i="3"/>
  <c r="G112" i="3"/>
  <c r="F112" i="3"/>
  <c r="G113" i="3" s="1"/>
  <c r="G115" i="3" s="1"/>
  <c r="E112" i="3"/>
  <c r="D112" i="3"/>
  <c r="E113" i="3" s="1"/>
  <c r="C112" i="3"/>
  <c r="B112" i="3"/>
  <c r="I110" i="3"/>
  <c r="E109" i="3"/>
  <c r="B109" i="3"/>
  <c r="I108" i="3"/>
  <c r="I109" i="3" s="1"/>
  <c r="H108" i="3"/>
  <c r="H109" i="3" s="1"/>
  <c r="G108" i="3"/>
  <c r="F108" i="3"/>
  <c r="E108" i="3"/>
  <c r="D108" i="3"/>
  <c r="C108" i="3"/>
  <c r="B108" i="3"/>
  <c r="I106" i="3"/>
  <c r="D106" i="3"/>
  <c r="G105" i="3"/>
  <c r="G107" i="3" s="1"/>
  <c r="E105" i="3"/>
  <c r="B105" i="3"/>
  <c r="I104" i="3"/>
  <c r="J104" i="3" s="1"/>
  <c r="K104" i="3" s="1"/>
  <c r="L104" i="3" s="1"/>
  <c r="M104" i="3" s="1"/>
  <c r="N104" i="3" s="1"/>
  <c r="H104" i="3"/>
  <c r="G104" i="3"/>
  <c r="F104" i="3"/>
  <c r="E104" i="3"/>
  <c r="D104" i="3"/>
  <c r="C104" i="3"/>
  <c r="B104" i="3"/>
  <c r="F103" i="3"/>
  <c r="C103" i="3"/>
  <c r="G102" i="3"/>
  <c r="F102" i="3"/>
  <c r="F128" i="3" s="1"/>
  <c r="E102" i="3"/>
  <c r="E131" i="3" s="1"/>
  <c r="D102" i="3"/>
  <c r="D128" i="3" s="1"/>
  <c r="C102" i="3"/>
  <c r="C128" i="3" s="1"/>
  <c r="B102" i="3"/>
  <c r="B103" i="3" s="1"/>
  <c r="D100" i="3"/>
  <c r="G99" i="3"/>
  <c r="D99" i="3"/>
  <c r="I98" i="3"/>
  <c r="J98" i="3" s="1"/>
  <c r="H98" i="3"/>
  <c r="G98" i="3"/>
  <c r="F98" i="3"/>
  <c r="E98" i="3"/>
  <c r="E99" i="3" s="1"/>
  <c r="D98" i="3"/>
  <c r="C98" i="3"/>
  <c r="B98" i="3"/>
  <c r="D97" i="3"/>
  <c r="I96" i="3"/>
  <c r="H96" i="3"/>
  <c r="G96" i="3"/>
  <c r="F96" i="3"/>
  <c r="E96" i="3"/>
  <c r="D96" i="3"/>
  <c r="C96" i="3"/>
  <c r="B96" i="3"/>
  <c r="J95" i="3"/>
  <c r="D94" i="3"/>
  <c r="I92" i="3"/>
  <c r="H92" i="3"/>
  <c r="G92" i="3"/>
  <c r="F92" i="3"/>
  <c r="E92" i="3"/>
  <c r="E93" i="3" s="1"/>
  <c r="D92" i="3"/>
  <c r="C92" i="3"/>
  <c r="D93" i="3" s="1"/>
  <c r="B92" i="3"/>
  <c r="B93" i="3" s="1"/>
  <c r="G91" i="3"/>
  <c r="F91" i="3"/>
  <c r="D90" i="3"/>
  <c r="I89" i="3"/>
  <c r="J88" i="3"/>
  <c r="I88" i="3"/>
  <c r="H88" i="3"/>
  <c r="G88" i="3"/>
  <c r="G85" i="3" s="1"/>
  <c r="F88" i="3"/>
  <c r="E88" i="3"/>
  <c r="D88" i="3"/>
  <c r="D89" i="3" s="1"/>
  <c r="C88" i="3"/>
  <c r="C89" i="3" s="1"/>
  <c r="B88" i="3"/>
  <c r="I83" i="3"/>
  <c r="D83" i="3"/>
  <c r="E82" i="3"/>
  <c r="I81" i="3"/>
  <c r="J81" i="3" s="1"/>
  <c r="K81" i="3" s="1"/>
  <c r="L81" i="3" s="1"/>
  <c r="M81" i="3" s="1"/>
  <c r="N81" i="3" s="1"/>
  <c r="H81" i="3"/>
  <c r="G81" i="3"/>
  <c r="F81" i="3"/>
  <c r="E81" i="3"/>
  <c r="D81" i="3"/>
  <c r="C81" i="3"/>
  <c r="I79" i="3"/>
  <c r="H79" i="3"/>
  <c r="B79" i="3"/>
  <c r="I77" i="3"/>
  <c r="H77" i="3"/>
  <c r="H78" i="3" s="1"/>
  <c r="G77" i="3"/>
  <c r="F77" i="3"/>
  <c r="E77" i="3"/>
  <c r="E78" i="3" s="1"/>
  <c r="D77" i="3"/>
  <c r="C77" i="3"/>
  <c r="I75" i="3"/>
  <c r="F75" i="3"/>
  <c r="D75" i="3"/>
  <c r="E74" i="3"/>
  <c r="D74" i="3"/>
  <c r="B74" i="3"/>
  <c r="I73" i="3"/>
  <c r="I71" i="3" s="1"/>
  <c r="H73" i="3"/>
  <c r="H74" i="3" s="1"/>
  <c r="G73" i="3"/>
  <c r="G71" i="3" s="1"/>
  <c r="F73" i="3"/>
  <c r="E73" i="3"/>
  <c r="D73" i="3"/>
  <c r="D71" i="3" s="1"/>
  <c r="C73" i="3"/>
  <c r="B73" i="3"/>
  <c r="I72" i="3"/>
  <c r="A70" i="3"/>
  <c r="E69" i="3"/>
  <c r="H68" i="3"/>
  <c r="G68" i="3"/>
  <c r="I67" i="3"/>
  <c r="H67" i="3"/>
  <c r="G67" i="3"/>
  <c r="F67" i="3"/>
  <c r="F68" i="3" s="1"/>
  <c r="E67" i="3"/>
  <c r="D67" i="3"/>
  <c r="D68" i="3" s="1"/>
  <c r="C67" i="3"/>
  <c r="B67" i="3"/>
  <c r="I66" i="3"/>
  <c r="I65" i="3"/>
  <c r="H65" i="3"/>
  <c r="G65" i="3"/>
  <c r="F65" i="3"/>
  <c r="E65" i="3"/>
  <c r="D65" i="3"/>
  <c r="C65" i="3"/>
  <c r="B65" i="3"/>
  <c r="J64" i="3"/>
  <c r="K64" i="3" s="1"/>
  <c r="L64" i="3" s="1"/>
  <c r="M64" i="3" s="1"/>
  <c r="H63" i="3"/>
  <c r="E63" i="3"/>
  <c r="I61" i="3"/>
  <c r="I63" i="3" s="1"/>
  <c r="H61" i="3"/>
  <c r="I62" i="3" s="1"/>
  <c r="G61" i="3"/>
  <c r="F61" i="3"/>
  <c r="F62" i="3" s="1"/>
  <c r="E61" i="3"/>
  <c r="D61" i="3"/>
  <c r="D63" i="3" s="1"/>
  <c r="C61" i="3"/>
  <c r="B61" i="3"/>
  <c r="H60" i="3"/>
  <c r="F58" i="3"/>
  <c r="E58" i="3"/>
  <c r="B58" i="3"/>
  <c r="I57" i="3"/>
  <c r="I58" i="3" s="1"/>
  <c r="H57" i="3"/>
  <c r="G57" i="3"/>
  <c r="G60" i="3" s="1"/>
  <c r="F57" i="3"/>
  <c r="F60" i="3" s="1"/>
  <c r="E57" i="3"/>
  <c r="D57" i="3"/>
  <c r="C57" i="3"/>
  <c r="B57" i="3"/>
  <c r="B8" i="3" s="1"/>
  <c r="F54" i="3"/>
  <c r="F56" i="3" s="1"/>
  <c r="E54" i="3"/>
  <c r="B54" i="3"/>
  <c r="J52" i="3"/>
  <c r="I52" i="3"/>
  <c r="H52" i="3"/>
  <c r="G52" i="3"/>
  <c r="G66" i="3" s="1"/>
  <c r="F52" i="3"/>
  <c r="E52" i="3"/>
  <c r="E53" i="3" s="1"/>
  <c r="D52" i="3"/>
  <c r="C52" i="3"/>
  <c r="C53" i="3" s="1"/>
  <c r="B52" i="3"/>
  <c r="B66" i="3" s="1"/>
  <c r="A51" i="3"/>
  <c r="I49" i="3"/>
  <c r="I48" i="3"/>
  <c r="H48" i="3"/>
  <c r="G48" i="3"/>
  <c r="F48" i="3"/>
  <c r="E48" i="3"/>
  <c r="F49" i="3" s="1"/>
  <c r="D48" i="3"/>
  <c r="D17" i="3" s="1"/>
  <c r="C48" i="3"/>
  <c r="D49" i="3" s="1"/>
  <c r="B48" i="3"/>
  <c r="B49" i="3" s="1"/>
  <c r="I45" i="3"/>
  <c r="I47" i="3" s="1"/>
  <c r="J47" i="3" s="1"/>
  <c r="K47" i="3" s="1"/>
  <c r="L47" i="3" s="1"/>
  <c r="M47" i="3" s="1"/>
  <c r="N47" i="3" s="1"/>
  <c r="H45" i="3"/>
  <c r="G45" i="3"/>
  <c r="F45" i="3"/>
  <c r="G46" i="3" s="1"/>
  <c r="E45" i="3"/>
  <c r="D45" i="3"/>
  <c r="C45" i="3"/>
  <c r="B45" i="3"/>
  <c r="G44" i="3"/>
  <c r="H43" i="3"/>
  <c r="C43" i="3"/>
  <c r="I42" i="3"/>
  <c r="I44" i="3" s="1"/>
  <c r="H42" i="3"/>
  <c r="G42" i="3"/>
  <c r="G35" i="3" s="1"/>
  <c r="F42" i="3"/>
  <c r="E42" i="3"/>
  <c r="D42" i="3"/>
  <c r="C42" i="3"/>
  <c r="B42" i="3"/>
  <c r="B43" i="3" s="1"/>
  <c r="I41" i="3"/>
  <c r="J41" i="3" s="1"/>
  <c r="I39" i="3"/>
  <c r="B39" i="3"/>
  <c r="I38" i="3"/>
  <c r="H38" i="3"/>
  <c r="H39" i="3" s="1"/>
  <c r="G38" i="3"/>
  <c r="G41" i="3" s="1"/>
  <c r="F38" i="3"/>
  <c r="F41" i="3" s="1"/>
  <c r="E38" i="3"/>
  <c r="E39" i="3" s="1"/>
  <c r="D38" i="3"/>
  <c r="D39" i="3" s="1"/>
  <c r="C38" i="3"/>
  <c r="C39" i="3" s="1"/>
  <c r="B38" i="3"/>
  <c r="B35" i="3"/>
  <c r="B36" i="3" s="1"/>
  <c r="K34" i="3"/>
  <c r="L34" i="3" s="1"/>
  <c r="M34" i="3" s="1"/>
  <c r="N34" i="3" s="1"/>
  <c r="K33" i="3"/>
  <c r="K32" i="3" s="1"/>
  <c r="I33" i="3"/>
  <c r="E33" i="3"/>
  <c r="D33" i="3"/>
  <c r="J32" i="3"/>
  <c r="I31" i="3"/>
  <c r="J31" i="3" s="1"/>
  <c r="H31" i="3"/>
  <c r="G31" i="3"/>
  <c r="F31" i="3"/>
  <c r="E31" i="3"/>
  <c r="E32" i="3" s="1"/>
  <c r="D31" i="3"/>
  <c r="C31" i="3"/>
  <c r="B31" i="3"/>
  <c r="B32" i="3" s="1"/>
  <c r="K30" i="3"/>
  <c r="L30" i="3" s="1"/>
  <c r="M30" i="3" s="1"/>
  <c r="N30" i="3" s="1"/>
  <c r="K29" i="3"/>
  <c r="L29" i="3" s="1"/>
  <c r="M29" i="3" s="1"/>
  <c r="M28" i="3" s="1"/>
  <c r="I29" i="3"/>
  <c r="F29" i="3"/>
  <c r="B29" i="3"/>
  <c r="K28" i="3"/>
  <c r="J28" i="3"/>
  <c r="H28" i="3"/>
  <c r="G28" i="3"/>
  <c r="I27" i="3"/>
  <c r="H27" i="3"/>
  <c r="G27" i="3"/>
  <c r="F27" i="3"/>
  <c r="E27" i="3"/>
  <c r="D27" i="3"/>
  <c r="C27" i="3"/>
  <c r="B27" i="3"/>
  <c r="B28" i="3" s="1"/>
  <c r="B30" i="3" s="1"/>
  <c r="K26" i="3"/>
  <c r="L26" i="3" s="1"/>
  <c r="K25" i="3"/>
  <c r="L25" i="3" s="1"/>
  <c r="M25" i="3" s="1"/>
  <c r="I25" i="3"/>
  <c r="H25" i="3"/>
  <c r="D25" i="3"/>
  <c r="J24" i="3"/>
  <c r="I23" i="3"/>
  <c r="I24" i="3" s="1"/>
  <c r="I26" i="3" s="1"/>
  <c r="H23" i="3"/>
  <c r="G23" i="3"/>
  <c r="F23" i="3"/>
  <c r="E23" i="3"/>
  <c r="D23" i="3"/>
  <c r="D24" i="3" s="1"/>
  <c r="D26" i="3" s="1"/>
  <c r="C23" i="3"/>
  <c r="B23" i="3"/>
  <c r="B24" i="3" s="1"/>
  <c r="F22" i="3"/>
  <c r="G21" i="3"/>
  <c r="F21" i="3"/>
  <c r="E21" i="3"/>
  <c r="D21" i="3"/>
  <c r="C21" i="3"/>
  <c r="C47" i="3" s="1"/>
  <c r="B21" i="3"/>
  <c r="B40" i="3" s="1"/>
  <c r="A20" i="3"/>
  <c r="G17" i="3"/>
  <c r="F17" i="3"/>
  <c r="B15" i="3"/>
  <c r="G14" i="3"/>
  <c r="D14" i="3"/>
  <c r="C14" i="3"/>
  <c r="B14" i="3"/>
  <c r="B12" i="3"/>
  <c r="B11" i="3"/>
  <c r="B9" i="3"/>
  <c r="B6" i="3"/>
  <c r="J1" i="3"/>
  <c r="K1" i="3" s="1"/>
  <c r="L1" i="3" s="1"/>
  <c r="M1" i="3" s="1"/>
  <c r="N1" i="3" s="1"/>
  <c r="H1" i="3"/>
  <c r="G1" i="3" s="1"/>
  <c r="F1" i="3" s="1"/>
  <c r="E1" i="3" s="1"/>
  <c r="D1" i="3"/>
  <c r="C1" i="3"/>
  <c r="B1" i="3" s="1"/>
  <c r="B203" i="2"/>
  <c r="H202" i="2"/>
  <c r="G202" i="2"/>
  <c r="F202" i="2"/>
  <c r="E202" i="2"/>
  <c r="D202" i="2"/>
  <c r="C202" i="2"/>
  <c r="B202" i="2"/>
  <c r="H201" i="2"/>
  <c r="G201" i="2"/>
  <c r="F201" i="2"/>
  <c r="E201" i="2"/>
  <c r="D201" i="2"/>
  <c r="C201" i="2"/>
  <c r="B201" i="2"/>
  <c r="H200" i="2"/>
  <c r="H114" i="3" s="1"/>
  <c r="G200" i="2"/>
  <c r="G114" i="3" s="1"/>
  <c r="F200" i="2"/>
  <c r="F114" i="3" s="1"/>
  <c r="E200" i="2"/>
  <c r="E114" i="3" s="1"/>
  <c r="D200" i="2"/>
  <c r="D114" i="3" s="1"/>
  <c r="C200" i="2"/>
  <c r="C114" i="3" s="1"/>
  <c r="B200" i="2"/>
  <c r="B114" i="3" s="1"/>
  <c r="H199" i="2"/>
  <c r="H110" i="3" s="1"/>
  <c r="G199" i="2"/>
  <c r="G110" i="3" s="1"/>
  <c r="F199" i="2"/>
  <c r="F110" i="3" s="1"/>
  <c r="E199" i="2"/>
  <c r="E110" i="3" s="1"/>
  <c r="D199" i="2"/>
  <c r="D110" i="3" s="1"/>
  <c r="C199" i="2"/>
  <c r="C110" i="3" s="1"/>
  <c r="B199" i="2"/>
  <c r="B110" i="3" s="1"/>
  <c r="H198" i="2"/>
  <c r="H106" i="3" s="1"/>
  <c r="G198" i="2"/>
  <c r="G106" i="3" s="1"/>
  <c r="F198" i="2"/>
  <c r="F106" i="3" s="1"/>
  <c r="E198" i="2"/>
  <c r="E106" i="3" s="1"/>
  <c r="D198" i="2"/>
  <c r="C198" i="2"/>
  <c r="C106" i="3" s="1"/>
  <c r="B198" i="2"/>
  <c r="B106" i="3" s="1"/>
  <c r="G197" i="2"/>
  <c r="F197" i="2"/>
  <c r="E197" i="2"/>
  <c r="D197" i="2"/>
  <c r="C197" i="2"/>
  <c r="B197" i="2"/>
  <c r="B196" i="2"/>
  <c r="H195" i="2"/>
  <c r="G195" i="2"/>
  <c r="F195" i="2"/>
  <c r="E195" i="2"/>
  <c r="D195" i="2"/>
  <c r="C195" i="2"/>
  <c r="B195" i="2"/>
  <c r="H194" i="2"/>
  <c r="H176" i="3" s="1"/>
  <c r="G194" i="2"/>
  <c r="G176" i="3" s="1"/>
  <c r="F194" i="2"/>
  <c r="F176" i="3" s="1"/>
  <c r="E194" i="2"/>
  <c r="E176" i="3" s="1"/>
  <c r="D194" i="2"/>
  <c r="D176" i="3" s="1"/>
  <c r="C194" i="2"/>
  <c r="C176" i="3" s="1"/>
  <c r="B194" i="2"/>
  <c r="B176" i="3" s="1"/>
  <c r="H193" i="2"/>
  <c r="H172" i="3" s="1"/>
  <c r="G193" i="2"/>
  <c r="G172" i="3" s="1"/>
  <c r="F193" i="2"/>
  <c r="E193" i="2"/>
  <c r="E172" i="3" s="1"/>
  <c r="D193" i="2"/>
  <c r="D172" i="3" s="1"/>
  <c r="C193" i="2"/>
  <c r="C172" i="3" s="1"/>
  <c r="B193" i="2"/>
  <c r="B172" i="3" s="1"/>
  <c r="H192" i="2"/>
  <c r="H168" i="3" s="1"/>
  <c r="G192" i="2"/>
  <c r="G168" i="3" s="1"/>
  <c r="F192" i="2"/>
  <c r="F168" i="3" s="1"/>
  <c r="E192" i="2"/>
  <c r="D192" i="2"/>
  <c r="D168" i="3" s="1"/>
  <c r="C192" i="2"/>
  <c r="C168" i="3" s="1"/>
  <c r="B192" i="2"/>
  <c r="B168" i="3" s="1"/>
  <c r="G191" i="2"/>
  <c r="B191" i="2"/>
  <c r="H190" i="2"/>
  <c r="H145" i="3" s="1"/>
  <c r="G190" i="2"/>
  <c r="G145" i="3" s="1"/>
  <c r="F190" i="2"/>
  <c r="E190" i="2"/>
  <c r="D190" i="2"/>
  <c r="D145" i="3" s="1"/>
  <c r="C190" i="2"/>
  <c r="C145" i="3" s="1"/>
  <c r="B190" i="2"/>
  <c r="B145" i="3" s="1"/>
  <c r="H189" i="2"/>
  <c r="H141" i="3" s="1"/>
  <c r="G189" i="2"/>
  <c r="G141" i="3" s="1"/>
  <c r="F189" i="2"/>
  <c r="F141" i="3" s="1"/>
  <c r="E189" i="2"/>
  <c r="E141" i="3" s="1"/>
  <c r="D189" i="2"/>
  <c r="D141" i="3" s="1"/>
  <c r="C189" i="2"/>
  <c r="C141" i="3" s="1"/>
  <c r="B189" i="2"/>
  <c r="H188" i="2"/>
  <c r="H137" i="3" s="1"/>
  <c r="G188" i="2"/>
  <c r="G137" i="3" s="1"/>
  <c r="F188" i="2"/>
  <c r="F137" i="3" s="1"/>
  <c r="E188" i="2"/>
  <c r="E137" i="3" s="1"/>
  <c r="D188" i="2"/>
  <c r="D137" i="3" s="1"/>
  <c r="C188" i="2"/>
  <c r="C137" i="3" s="1"/>
  <c r="B188" i="2"/>
  <c r="G187" i="2"/>
  <c r="F187" i="2"/>
  <c r="E187" i="2"/>
  <c r="D187" i="2"/>
  <c r="C187" i="2"/>
  <c r="B187" i="2"/>
  <c r="H186" i="2"/>
  <c r="H83" i="3" s="1"/>
  <c r="G186" i="2"/>
  <c r="G83" i="3" s="1"/>
  <c r="F186" i="2"/>
  <c r="F83" i="3" s="1"/>
  <c r="E186" i="2"/>
  <c r="E83" i="3" s="1"/>
  <c r="D186" i="2"/>
  <c r="B186" i="2"/>
  <c r="B83" i="3" s="1"/>
  <c r="H185" i="2"/>
  <c r="G185" i="2"/>
  <c r="G79" i="3" s="1"/>
  <c r="F185" i="2"/>
  <c r="F79" i="3" s="1"/>
  <c r="E185" i="2"/>
  <c r="E79" i="3" s="1"/>
  <c r="D185" i="2"/>
  <c r="D79" i="3" s="1"/>
  <c r="B185" i="2"/>
  <c r="H184" i="2"/>
  <c r="H29" i="3" s="1"/>
  <c r="G184" i="2"/>
  <c r="F184" i="2"/>
  <c r="E184" i="2"/>
  <c r="E29" i="3" s="1"/>
  <c r="D184" i="2"/>
  <c r="D29" i="3" s="1"/>
  <c r="B184" i="2"/>
  <c r="B75" i="3" s="1"/>
  <c r="B183" i="2"/>
  <c r="H182" i="2"/>
  <c r="H33" i="3" s="1"/>
  <c r="G182" i="2"/>
  <c r="G33" i="3" s="1"/>
  <c r="F182" i="2"/>
  <c r="F33" i="3" s="1"/>
  <c r="E182" i="2"/>
  <c r="D182" i="2"/>
  <c r="C182" i="2"/>
  <c r="C33" i="3" s="1"/>
  <c r="B182" i="2"/>
  <c r="B33" i="3" s="1"/>
  <c r="H181" i="2"/>
  <c r="G181" i="2"/>
  <c r="F181" i="2"/>
  <c r="E181" i="2"/>
  <c r="D181" i="2"/>
  <c r="C181" i="2"/>
  <c r="B181" i="2"/>
  <c r="H180" i="2"/>
  <c r="G180" i="2"/>
  <c r="G25" i="3" s="1"/>
  <c r="F180" i="2"/>
  <c r="F25" i="3" s="1"/>
  <c r="E180" i="2"/>
  <c r="E25" i="3" s="1"/>
  <c r="D180" i="2"/>
  <c r="C180" i="2"/>
  <c r="C25" i="3" s="1"/>
  <c r="B180" i="2"/>
  <c r="B25" i="3" s="1"/>
  <c r="B26" i="3" s="1"/>
  <c r="G179" i="2"/>
  <c r="F179" i="2"/>
  <c r="E179" i="2"/>
  <c r="D179" i="2"/>
  <c r="C179" i="2"/>
  <c r="B179" i="2"/>
  <c r="F176" i="2"/>
  <c r="E176" i="2"/>
  <c r="D176" i="2"/>
  <c r="E175" i="2"/>
  <c r="C175" i="2"/>
  <c r="C176" i="2" s="1"/>
  <c r="B175" i="2"/>
  <c r="B176" i="2" s="1"/>
  <c r="I172" i="2"/>
  <c r="I175" i="2" s="1"/>
  <c r="I176" i="2" s="1"/>
  <c r="H172" i="2"/>
  <c r="H175" i="2" s="1"/>
  <c r="H176" i="2" s="1"/>
  <c r="G172" i="2"/>
  <c r="G175" i="2" s="1"/>
  <c r="G176" i="2" s="1"/>
  <c r="F172" i="2"/>
  <c r="F175" i="2" s="1"/>
  <c r="E172" i="2"/>
  <c r="D172" i="2"/>
  <c r="D175" i="2" s="1"/>
  <c r="C172" i="2"/>
  <c r="B172" i="2"/>
  <c r="E164" i="2"/>
  <c r="E165" i="2" s="1"/>
  <c r="G163" i="2"/>
  <c r="B163" i="2"/>
  <c r="B164" i="2" s="1"/>
  <c r="B165" i="2" s="1"/>
  <c r="I161" i="2"/>
  <c r="H161" i="2"/>
  <c r="G161" i="2"/>
  <c r="G164" i="2" s="1"/>
  <c r="G165" i="2" s="1"/>
  <c r="F161" i="2"/>
  <c r="F163" i="2" s="1"/>
  <c r="F164" i="2" s="1"/>
  <c r="F165" i="2" s="1"/>
  <c r="E161" i="2"/>
  <c r="E163" i="2" s="1"/>
  <c r="D161" i="2"/>
  <c r="D163" i="2" s="1"/>
  <c r="C161" i="2"/>
  <c r="B161" i="2"/>
  <c r="H153" i="2"/>
  <c r="H154" i="2" s="1"/>
  <c r="G153" i="2"/>
  <c r="G154" i="2" s="1"/>
  <c r="F153" i="2"/>
  <c r="F154" i="2" s="1"/>
  <c r="B153" i="2"/>
  <c r="B154" i="2" s="1"/>
  <c r="I150" i="2"/>
  <c r="I153" i="2" s="1"/>
  <c r="I154" i="2" s="1"/>
  <c r="H150" i="2"/>
  <c r="G150" i="2"/>
  <c r="F150" i="2"/>
  <c r="E150" i="2"/>
  <c r="E153" i="2" s="1"/>
  <c r="E154" i="2" s="1"/>
  <c r="D150" i="2"/>
  <c r="D153" i="2" s="1"/>
  <c r="D154" i="2" s="1"/>
  <c r="C150" i="2"/>
  <c r="C153" i="2" s="1"/>
  <c r="C154" i="2" s="1"/>
  <c r="B150" i="2"/>
  <c r="I142" i="2"/>
  <c r="G142" i="2"/>
  <c r="I139" i="2"/>
  <c r="H139" i="2"/>
  <c r="H142" i="2" s="1"/>
  <c r="G139" i="2"/>
  <c r="F139" i="2"/>
  <c r="F142" i="2" s="1"/>
  <c r="F143" i="2" s="1"/>
  <c r="E139" i="2"/>
  <c r="E142" i="2" s="1"/>
  <c r="E143" i="2" s="1"/>
  <c r="D139" i="2"/>
  <c r="D142" i="2" s="1"/>
  <c r="D143" i="2" s="1"/>
  <c r="C139" i="2"/>
  <c r="C142" i="2" s="1"/>
  <c r="B139" i="2"/>
  <c r="B142" i="2" s="1"/>
  <c r="B143" i="2" s="1"/>
  <c r="I125" i="2"/>
  <c r="I102" i="3" s="1"/>
  <c r="H125" i="2"/>
  <c r="H197" i="2" s="1"/>
  <c r="I124" i="2"/>
  <c r="I131" i="2" s="1"/>
  <c r="B132" i="2" s="1"/>
  <c r="G124" i="2"/>
  <c r="I119" i="2"/>
  <c r="H119" i="2"/>
  <c r="G119" i="2"/>
  <c r="F119" i="2"/>
  <c r="F191" i="2" s="1"/>
  <c r="E119" i="2"/>
  <c r="E191" i="2" s="1"/>
  <c r="D119" i="2"/>
  <c r="C119" i="2"/>
  <c r="D191" i="2" s="1"/>
  <c r="B119" i="2"/>
  <c r="I115" i="2"/>
  <c r="H115" i="2"/>
  <c r="H187" i="2" s="1"/>
  <c r="B114" i="2"/>
  <c r="B81" i="3" s="1"/>
  <c r="B82" i="3" s="1"/>
  <c r="B113" i="2"/>
  <c r="B77" i="3" s="1"/>
  <c r="B78" i="3" s="1"/>
  <c r="B112" i="2"/>
  <c r="C184" i="2" s="1"/>
  <c r="C29" i="3" s="1"/>
  <c r="I111" i="2"/>
  <c r="H111" i="2"/>
  <c r="G111" i="2"/>
  <c r="G183" i="2" s="1"/>
  <c r="G72" i="3" s="1"/>
  <c r="F111" i="2"/>
  <c r="F124" i="2" s="1"/>
  <c r="E111" i="2"/>
  <c r="D111" i="2"/>
  <c r="D124" i="2" s="1"/>
  <c r="C111" i="2"/>
  <c r="C124" i="2" s="1"/>
  <c r="I107" i="2"/>
  <c r="I21" i="3" s="1"/>
  <c r="I40" i="3" s="1"/>
  <c r="H107" i="2"/>
  <c r="H21" i="3" s="1"/>
  <c r="G97" i="2"/>
  <c r="F97" i="2"/>
  <c r="E97" i="2"/>
  <c r="D97" i="2"/>
  <c r="C97" i="2"/>
  <c r="B97" i="2"/>
  <c r="C94" i="2"/>
  <c r="I92" i="2"/>
  <c r="H92" i="2"/>
  <c r="G92" i="2"/>
  <c r="F92" i="2"/>
  <c r="E92" i="2"/>
  <c r="D92" i="2"/>
  <c r="C92" i="2"/>
  <c r="B92" i="2"/>
  <c r="I83" i="2"/>
  <c r="H83" i="2"/>
  <c r="G83" i="2"/>
  <c r="F83" i="2"/>
  <c r="E83" i="2"/>
  <c r="D83" i="2"/>
  <c r="D94" i="2" s="1"/>
  <c r="C83" i="2"/>
  <c r="B83" i="2"/>
  <c r="G76" i="2"/>
  <c r="G94" i="2" s="1"/>
  <c r="F76" i="2"/>
  <c r="F94" i="2" s="1"/>
  <c r="E76" i="2"/>
  <c r="E94" i="2" s="1"/>
  <c r="D76" i="2"/>
  <c r="C76" i="2"/>
  <c r="B76" i="2"/>
  <c r="H60" i="2"/>
  <c r="I59" i="2"/>
  <c r="I60" i="2" s="1"/>
  <c r="G59" i="2"/>
  <c r="G60" i="2" s="1"/>
  <c r="D59" i="2"/>
  <c r="D60" i="2" s="1"/>
  <c r="I58" i="2"/>
  <c r="H58" i="2"/>
  <c r="G58" i="2"/>
  <c r="F58" i="2"/>
  <c r="F59" i="2" s="1"/>
  <c r="F60" i="2" s="1"/>
  <c r="E58" i="2"/>
  <c r="E59" i="2" s="1"/>
  <c r="D58" i="2"/>
  <c r="C58" i="2"/>
  <c r="C59" i="2" s="1"/>
  <c r="C60" i="2" s="1"/>
  <c r="B58" i="2"/>
  <c r="B59" i="2" s="1"/>
  <c r="B60" i="2" s="1"/>
  <c r="I45" i="2"/>
  <c r="H45" i="2"/>
  <c r="H59" i="2" s="1"/>
  <c r="G45" i="2"/>
  <c r="F45" i="2"/>
  <c r="E45" i="2"/>
  <c r="D45" i="2"/>
  <c r="C45" i="2"/>
  <c r="B45" i="2"/>
  <c r="I36" i="2"/>
  <c r="H36" i="2"/>
  <c r="G36" i="2"/>
  <c r="F36" i="2"/>
  <c r="D36" i="2"/>
  <c r="I30" i="2"/>
  <c r="H30" i="2"/>
  <c r="G30" i="2"/>
  <c r="F30" i="2"/>
  <c r="E30" i="2"/>
  <c r="E36" i="2" s="1"/>
  <c r="D30" i="2"/>
  <c r="C30" i="2"/>
  <c r="C36" i="2" s="1"/>
  <c r="B30" i="2"/>
  <c r="B36" i="2" s="1"/>
  <c r="D12" i="2"/>
  <c r="D20" i="2" s="1"/>
  <c r="G10" i="2"/>
  <c r="G12" i="2" s="1"/>
  <c r="G20" i="2" s="1"/>
  <c r="F10" i="2"/>
  <c r="F12" i="2" s="1"/>
  <c r="F20" i="2" s="1"/>
  <c r="I7" i="2"/>
  <c r="H7" i="2"/>
  <c r="G7" i="2"/>
  <c r="F7" i="2"/>
  <c r="E7" i="2"/>
  <c r="D7" i="2"/>
  <c r="C7" i="2"/>
  <c r="B7" i="2"/>
  <c r="B10" i="2" s="1"/>
  <c r="B12" i="2" s="1"/>
  <c r="B20" i="2" s="1"/>
  <c r="I4" i="2"/>
  <c r="I10" i="2" s="1"/>
  <c r="I12" i="2" s="1"/>
  <c r="H4" i="2"/>
  <c r="G4" i="2"/>
  <c r="F4" i="2"/>
  <c r="E4" i="2"/>
  <c r="E10" i="2" s="1"/>
  <c r="E12" i="2" s="1"/>
  <c r="E20" i="2" s="1"/>
  <c r="D4" i="2"/>
  <c r="D10" i="2" s="1"/>
  <c r="C4" i="2"/>
  <c r="C10" i="2" s="1"/>
  <c r="C12" i="2" s="1"/>
  <c r="C20" i="2" s="1"/>
  <c r="B4" i="2"/>
  <c r="G2" i="2"/>
  <c r="E2" i="2"/>
  <c r="H1" i="2"/>
  <c r="G1" i="2"/>
  <c r="F1" i="2"/>
  <c r="E1" i="2" s="1"/>
  <c r="D1" i="2" s="1"/>
  <c r="C1" i="2" s="1"/>
  <c r="B1" i="2" s="1"/>
  <c r="J71" i="3" l="1"/>
  <c r="K71" i="3" s="1"/>
  <c r="I97" i="3"/>
  <c r="H156" i="3"/>
  <c r="F179" i="3"/>
  <c r="J97" i="3"/>
  <c r="C120" i="3"/>
  <c r="D32" i="3"/>
  <c r="D34" i="3" s="1"/>
  <c r="D41" i="3"/>
  <c r="C91" i="3"/>
  <c r="J108" i="3"/>
  <c r="K108" i="3" s="1"/>
  <c r="L108" i="3" s="1"/>
  <c r="M108" i="3" s="1"/>
  <c r="N108" i="3" s="1"/>
  <c r="D91" i="3"/>
  <c r="E171" i="3"/>
  <c r="E173" i="3" s="1"/>
  <c r="H71" i="3"/>
  <c r="H97" i="3" s="1"/>
  <c r="K95" i="3"/>
  <c r="L95" i="3" s="1"/>
  <c r="M95" i="3" s="1"/>
  <c r="D105" i="3"/>
  <c r="D107" i="3" s="1"/>
  <c r="F120" i="3"/>
  <c r="D193" i="3"/>
  <c r="C28" i="3"/>
  <c r="C30" i="3" s="1"/>
  <c r="B59" i="3"/>
  <c r="E68" i="3"/>
  <c r="F89" i="3"/>
  <c r="G171" i="3"/>
  <c r="G173" i="3" s="1"/>
  <c r="H32" i="3"/>
  <c r="H34" i="3" s="1"/>
  <c r="G59" i="3"/>
  <c r="H8" i="3"/>
  <c r="C125" i="3"/>
  <c r="B128" i="3"/>
  <c r="I130" i="3"/>
  <c r="D155" i="3"/>
  <c r="I161" i="3"/>
  <c r="I175" i="3"/>
  <c r="I177" i="3" s="1"/>
  <c r="D210" i="3"/>
  <c r="J23" i="3"/>
  <c r="E28" i="3"/>
  <c r="E30" i="3" s="1"/>
  <c r="E35" i="3"/>
  <c r="E37" i="3" s="1"/>
  <c r="D43" i="3"/>
  <c r="I59" i="3"/>
  <c r="D62" i="3"/>
  <c r="B71" i="3"/>
  <c r="B94" i="3" s="1"/>
  <c r="H80" i="3"/>
  <c r="C85" i="3"/>
  <c r="C109" i="3"/>
  <c r="C111" i="3" s="1"/>
  <c r="G147" i="3"/>
  <c r="G148" i="3" s="1"/>
  <c r="E155" i="3"/>
  <c r="I171" i="3"/>
  <c r="I173" i="3" s="1"/>
  <c r="B197" i="3"/>
  <c r="B199" i="3" s="1"/>
  <c r="E210" i="3"/>
  <c r="E34" i="3"/>
  <c r="F24" i="3"/>
  <c r="E62" i="3"/>
  <c r="C140" i="3"/>
  <c r="C142" i="3" s="1"/>
  <c r="E142" i="3"/>
  <c r="F55" i="3"/>
  <c r="E89" i="3"/>
  <c r="G175" i="3"/>
  <c r="B211" i="3"/>
  <c r="G32" i="3"/>
  <c r="G34" i="3" s="1"/>
  <c r="E111" i="3"/>
  <c r="H175" i="3"/>
  <c r="H177" i="3" s="1"/>
  <c r="B205" i="3"/>
  <c r="C210" i="3"/>
  <c r="D35" i="3"/>
  <c r="D37" i="3" s="1"/>
  <c r="F105" i="3"/>
  <c r="F107" i="3" s="1"/>
  <c r="G151" i="3"/>
  <c r="I167" i="3"/>
  <c r="I169" i="3" s="1"/>
  <c r="I14" i="3"/>
  <c r="K24" i="3"/>
  <c r="F28" i="3"/>
  <c r="F30" i="3" s="1"/>
  <c r="D85" i="3"/>
  <c r="B120" i="3"/>
  <c r="E124" i="3"/>
  <c r="E133" i="3"/>
  <c r="C153" i="3"/>
  <c r="H155" i="3"/>
  <c r="D164" i="3"/>
  <c r="D187" i="3" s="1"/>
  <c r="H201" i="3"/>
  <c r="I74" i="3"/>
  <c r="I76" i="3" s="1"/>
  <c r="D120" i="3"/>
  <c r="F8" i="3"/>
  <c r="I54" i="3"/>
  <c r="I56" i="3" s="1"/>
  <c r="J54" i="3" s="1"/>
  <c r="H24" i="3"/>
  <c r="H26" i="3" s="1"/>
  <c r="I78" i="3"/>
  <c r="I80" i="3" s="1"/>
  <c r="E49" i="3"/>
  <c r="G120" i="3"/>
  <c r="C182" i="3"/>
  <c r="C8" i="3"/>
  <c r="F39" i="3"/>
  <c r="I60" i="3"/>
  <c r="B63" i="3"/>
  <c r="C116" i="3"/>
  <c r="C121" i="3"/>
  <c r="H136" i="3"/>
  <c r="H138" i="3" s="1"/>
  <c r="D161" i="3"/>
  <c r="I164" i="3"/>
  <c r="I183" i="3" s="1"/>
  <c r="H210" i="3"/>
  <c r="E24" i="3"/>
  <c r="E26" i="3" s="1"/>
  <c r="J57" i="3"/>
  <c r="H82" i="3"/>
  <c r="H84" i="3" s="1"/>
  <c r="C122" i="3"/>
  <c r="H162" i="3"/>
  <c r="G24" i="3"/>
  <c r="G26" i="3" s="1"/>
  <c r="F32" i="3"/>
  <c r="F34" i="3" s="1"/>
  <c r="F35" i="3"/>
  <c r="F36" i="3" s="1"/>
  <c r="J66" i="3"/>
  <c r="E85" i="3"/>
  <c r="E86" i="3" s="1"/>
  <c r="F167" i="3"/>
  <c r="F169" i="3" s="1"/>
  <c r="G177" i="3"/>
  <c r="G8" i="3"/>
  <c r="E17" i="3"/>
  <c r="E18" i="3" s="1"/>
  <c r="J27" i="3"/>
  <c r="K27" i="3" s="1"/>
  <c r="I46" i="3"/>
  <c r="E50" i="3"/>
  <c r="D121" i="3"/>
  <c r="F182" i="3"/>
  <c r="D192" i="3"/>
  <c r="F197" i="3"/>
  <c r="F199" i="3" s="1"/>
  <c r="J21" i="3"/>
  <c r="K23" i="3"/>
  <c r="H22" i="3"/>
  <c r="C131" i="2"/>
  <c r="F131" i="2"/>
  <c r="K97" i="3"/>
  <c r="L71" i="3"/>
  <c r="M71" i="3" s="1"/>
  <c r="N71" i="3" s="1"/>
  <c r="H9" i="3"/>
  <c r="N25" i="3"/>
  <c r="D131" i="2"/>
  <c r="D196" i="2"/>
  <c r="F37" i="3"/>
  <c r="G36" i="3"/>
  <c r="M26" i="3"/>
  <c r="N26" i="3" s="1"/>
  <c r="L24" i="3"/>
  <c r="E60" i="2"/>
  <c r="I64" i="2"/>
  <c r="I76" i="2" s="1"/>
  <c r="I94" i="2" s="1"/>
  <c r="I20" i="2"/>
  <c r="G196" i="2"/>
  <c r="F140" i="3"/>
  <c r="F142" i="3" s="1"/>
  <c r="F133" i="3"/>
  <c r="F162" i="3" s="1"/>
  <c r="C143" i="2"/>
  <c r="G75" i="3"/>
  <c r="G29" i="3"/>
  <c r="G30" i="3" s="1"/>
  <c r="D47" i="3"/>
  <c r="D22" i="3"/>
  <c r="D50" i="3"/>
  <c r="K41" i="3"/>
  <c r="H116" i="3"/>
  <c r="I128" i="3"/>
  <c r="J102" i="3"/>
  <c r="I131" i="3"/>
  <c r="C5" i="3"/>
  <c r="D58" i="3"/>
  <c r="D60" i="3"/>
  <c r="D54" i="3"/>
  <c r="D59" i="3"/>
  <c r="I69" i="3"/>
  <c r="I68" i="3"/>
  <c r="J67" i="3"/>
  <c r="H164" i="2"/>
  <c r="H165" i="2" s="1"/>
  <c r="D8" i="3"/>
  <c r="G3" i="3"/>
  <c r="G19" i="3" s="1"/>
  <c r="H30" i="3"/>
  <c r="K31" i="3"/>
  <c r="G37" i="3"/>
  <c r="C82" i="3"/>
  <c r="D82" i="3"/>
  <c r="D84" i="3" s="1"/>
  <c r="C71" i="3"/>
  <c r="C100" i="3" s="1"/>
  <c r="G94" i="3"/>
  <c r="G162" i="3"/>
  <c r="C201" i="3"/>
  <c r="C202" i="3"/>
  <c r="D201" i="3"/>
  <c r="H183" i="2"/>
  <c r="H72" i="3" s="1"/>
  <c r="H14" i="3"/>
  <c r="F26" i="3"/>
  <c r="I28" i="3"/>
  <c r="I30" i="3" s="1"/>
  <c r="L33" i="3"/>
  <c r="D40" i="3"/>
  <c r="E44" i="3"/>
  <c r="E43" i="3"/>
  <c r="D44" i="3"/>
  <c r="H46" i="3"/>
  <c r="G49" i="3"/>
  <c r="G50" i="3"/>
  <c r="K52" i="3"/>
  <c r="H94" i="3"/>
  <c r="H93" i="3"/>
  <c r="H85" i="3"/>
  <c r="F173" i="3"/>
  <c r="G90" i="3"/>
  <c r="G97" i="3"/>
  <c r="F46" i="3"/>
  <c r="F47" i="3"/>
  <c r="F14" i="3"/>
  <c r="C144" i="3"/>
  <c r="C146" i="3" s="1"/>
  <c r="C133" i="3"/>
  <c r="C149" i="3" s="1"/>
  <c r="D196" i="3"/>
  <c r="D202" i="3"/>
  <c r="D199" i="3"/>
  <c r="B100" i="3"/>
  <c r="B99" i="3"/>
  <c r="N29" i="3"/>
  <c r="N28" i="3" s="1"/>
  <c r="C138" i="3"/>
  <c r="D148" i="3"/>
  <c r="G131" i="2"/>
  <c r="E40" i="3"/>
  <c r="E41" i="3"/>
  <c r="E8" i="3"/>
  <c r="G156" i="3"/>
  <c r="K160" i="3"/>
  <c r="G204" i="3"/>
  <c r="G205" i="3"/>
  <c r="G197" i="3"/>
  <c r="E22" i="3"/>
  <c r="G63" i="3"/>
  <c r="G62" i="3"/>
  <c r="G11" i="3"/>
  <c r="G54" i="3"/>
  <c r="H99" i="3"/>
  <c r="H100" i="3"/>
  <c r="H91" i="3"/>
  <c r="H204" i="3"/>
  <c r="C9" i="3"/>
  <c r="K98" i="3"/>
  <c r="J100" i="3"/>
  <c r="I125" i="3"/>
  <c r="H163" i="2"/>
  <c r="C191" i="2"/>
  <c r="D11" i="3"/>
  <c r="F18" i="3"/>
  <c r="G22" i="3"/>
  <c r="I32" i="3"/>
  <c r="I34" i="3" s="1"/>
  <c r="H41" i="3"/>
  <c r="H40" i="3"/>
  <c r="H35" i="3"/>
  <c r="B41" i="3"/>
  <c r="J59" i="3"/>
  <c r="E75" i="3"/>
  <c r="E76" i="3" s="1"/>
  <c r="I178" i="3"/>
  <c r="I182" i="3"/>
  <c r="J181" i="3"/>
  <c r="I184" i="3"/>
  <c r="I8" i="3"/>
  <c r="B97" i="3"/>
  <c r="B72" i="3"/>
  <c r="H102" i="3"/>
  <c r="H3" i="3" s="1"/>
  <c r="H10" i="3" s="1"/>
  <c r="F109" i="3"/>
  <c r="F111" i="3" s="1"/>
  <c r="G109" i="3"/>
  <c r="G111" i="3" s="1"/>
  <c r="M188" i="3"/>
  <c r="B94" i="2"/>
  <c r="H179" i="2"/>
  <c r="H124" i="2"/>
  <c r="I22" i="3"/>
  <c r="E124" i="2"/>
  <c r="F196" i="2" s="1"/>
  <c r="G143" i="2"/>
  <c r="I163" i="2"/>
  <c r="I164" i="2" s="1"/>
  <c r="I165" i="2" s="1"/>
  <c r="C186" i="2"/>
  <c r="C83" i="3" s="1"/>
  <c r="E12" i="3"/>
  <c r="G18" i="3"/>
  <c r="C41" i="3"/>
  <c r="G47" i="3"/>
  <c r="D66" i="3"/>
  <c r="D69" i="3"/>
  <c r="D53" i="3"/>
  <c r="B55" i="3"/>
  <c r="B56" i="3"/>
  <c r="K57" i="3"/>
  <c r="J61" i="3"/>
  <c r="J63" i="3" s="1"/>
  <c r="I143" i="2"/>
  <c r="D164" i="2"/>
  <c r="D165" i="2" s="1"/>
  <c r="B50" i="3"/>
  <c r="B17" i="3"/>
  <c r="E153" i="3"/>
  <c r="E147" i="3"/>
  <c r="E151" i="3"/>
  <c r="D183" i="2"/>
  <c r="D72" i="3" s="1"/>
  <c r="C49" i="3"/>
  <c r="C17" i="3"/>
  <c r="C50" i="3"/>
  <c r="H122" i="3"/>
  <c r="H120" i="3"/>
  <c r="H121" i="3"/>
  <c r="D208" i="3"/>
  <c r="E183" i="2"/>
  <c r="E72" i="3" s="1"/>
  <c r="B5" i="3"/>
  <c r="H47" i="3"/>
  <c r="L206" i="3"/>
  <c r="I15" i="3"/>
  <c r="C22" i="3"/>
  <c r="C40" i="3"/>
  <c r="F43" i="3"/>
  <c r="G43" i="3"/>
  <c r="F11" i="3"/>
  <c r="F44" i="3"/>
  <c r="H50" i="3"/>
  <c r="I94" i="3"/>
  <c r="I93" i="3"/>
  <c r="F183" i="2"/>
  <c r="F72" i="3" s="1"/>
  <c r="K129" i="3"/>
  <c r="H10" i="2"/>
  <c r="H12" i="2" s="1"/>
  <c r="B111" i="2"/>
  <c r="B124" i="2" s="1"/>
  <c r="B131" i="2" s="1"/>
  <c r="C163" i="2"/>
  <c r="C164" i="2" s="1"/>
  <c r="C165" i="2" s="1"/>
  <c r="H17" i="3"/>
  <c r="B44" i="3"/>
  <c r="B22" i="3"/>
  <c r="B37" i="3"/>
  <c r="E47" i="3"/>
  <c r="E14" i="3"/>
  <c r="E46" i="3"/>
  <c r="H49" i="3"/>
  <c r="E66" i="3"/>
  <c r="E59" i="3"/>
  <c r="E56" i="3"/>
  <c r="H75" i="3"/>
  <c r="H76" i="3" s="1"/>
  <c r="E84" i="3"/>
  <c r="C197" i="3"/>
  <c r="D198" i="3" s="1"/>
  <c r="K88" i="3"/>
  <c r="J90" i="3"/>
  <c r="J91" i="3"/>
  <c r="E107" i="3"/>
  <c r="I122" i="3"/>
  <c r="I121" i="3"/>
  <c r="I116" i="3"/>
  <c r="E138" i="3"/>
  <c r="D144" i="3"/>
  <c r="D146" i="3" s="1"/>
  <c r="E204" i="3"/>
  <c r="E205" i="3"/>
  <c r="F204" i="3"/>
  <c r="F50" i="3"/>
  <c r="I43" i="3"/>
  <c r="I11" i="3"/>
  <c r="I35" i="3"/>
  <c r="C69" i="3"/>
  <c r="C63" i="3"/>
  <c r="C66" i="3"/>
  <c r="C54" i="3"/>
  <c r="C60" i="3"/>
  <c r="C58" i="3"/>
  <c r="H62" i="3"/>
  <c r="H54" i="3"/>
  <c r="I55" i="3" s="1"/>
  <c r="G82" i="3"/>
  <c r="G84" i="3" s="1"/>
  <c r="F82" i="3"/>
  <c r="F84" i="3" s="1"/>
  <c r="C105" i="3"/>
  <c r="C107" i="3" s="1"/>
  <c r="J119" i="3"/>
  <c r="B133" i="3"/>
  <c r="B156" i="3" s="1"/>
  <c r="D153" i="3"/>
  <c r="D151" i="3"/>
  <c r="H178" i="3"/>
  <c r="H186" i="3"/>
  <c r="H187" i="3"/>
  <c r="I186" i="3"/>
  <c r="I17" i="3"/>
  <c r="C171" i="3"/>
  <c r="C173" i="3" s="1"/>
  <c r="D171" i="3"/>
  <c r="D173" i="3" s="1"/>
  <c r="H191" i="2"/>
  <c r="C185" i="2"/>
  <c r="C79" i="3" s="1"/>
  <c r="C15" i="3"/>
  <c r="C24" i="3"/>
  <c r="C26" i="3" s="1"/>
  <c r="C59" i="3"/>
  <c r="C74" i="3"/>
  <c r="D130" i="3"/>
  <c r="D131" i="3"/>
  <c r="E130" i="3"/>
  <c r="H147" i="3"/>
  <c r="H153" i="3"/>
  <c r="H151" i="3"/>
  <c r="B34" i="3"/>
  <c r="F40" i="3"/>
  <c r="N64" i="3"/>
  <c r="E80" i="3"/>
  <c r="G87" i="3"/>
  <c r="H105" i="3"/>
  <c r="H107" i="3" s="1"/>
  <c r="I105" i="3"/>
  <c r="I107" i="3" s="1"/>
  <c r="H113" i="3"/>
  <c r="H115" i="3" s="1"/>
  <c r="I113" i="3"/>
  <c r="I115" i="3" s="1"/>
  <c r="J154" i="3"/>
  <c r="D76" i="3"/>
  <c r="B90" i="3"/>
  <c r="B89" i="3"/>
  <c r="B91" i="3"/>
  <c r="B85" i="3"/>
  <c r="I99" i="3"/>
  <c r="I100" i="3"/>
  <c r="I120" i="3"/>
  <c r="F149" i="3"/>
  <c r="D28" i="3"/>
  <c r="D30" i="3" s="1"/>
  <c r="L28" i="3"/>
  <c r="L27" i="3" s="1"/>
  <c r="M27" i="3" s="1"/>
  <c r="N27" i="3" s="1"/>
  <c r="C32" i="3"/>
  <c r="C34" i="3" s="1"/>
  <c r="C44" i="3"/>
  <c r="C35" i="3"/>
  <c r="D36" i="3" s="1"/>
  <c r="C11" i="3"/>
  <c r="I50" i="3"/>
  <c r="J50" i="3" s="1"/>
  <c r="C62" i="3"/>
  <c r="B62" i="3"/>
  <c r="C75" i="3"/>
  <c r="G78" i="3"/>
  <c r="G80" i="3" s="1"/>
  <c r="F78" i="3"/>
  <c r="F80" i="3" s="1"/>
  <c r="N95" i="3"/>
  <c r="G131" i="3"/>
  <c r="G128" i="3"/>
  <c r="G103" i="3"/>
  <c r="I111" i="3"/>
  <c r="G118" i="3"/>
  <c r="F148" i="3"/>
  <c r="G182" i="3"/>
  <c r="H182" i="3"/>
  <c r="G178" i="3"/>
  <c r="G184" i="3"/>
  <c r="B186" i="3"/>
  <c r="B178" i="3"/>
  <c r="K191" i="3"/>
  <c r="H196" i="3"/>
  <c r="H205" i="3"/>
  <c r="H202" i="3"/>
  <c r="G39" i="3"/>
  <c r="G40" i="3"/>
  <c r="H44" i="3"/>
  <c r="B53" i="3"/>
  <c r="C68" i="3"/>
  <c r="B68" i="3"/>
  <c r="D136" i="3"/>
  <c r="D138" i="3" s="1"/>
  <c r="D133" i="3"/>
  <c r="D149" i="3" s="1"/>
  <c r="F146" i="3"/>
  <c r="B47" i="3"/>
  <c r="F66" i="3"/>
  <c r="F69" i="3"/>
  <c r="F63" i="3"/>
  <c r="F53" i="3"/>
  <c r="F59" i="3"/>
  <c r="G58" i="3"/>
  <c r="E115" i="3"/>
  <c r="B124" i="3"/>
  <c r="B125" i="3"/>
  <c r="B116" i="3"/>
  <c r="D169" i="3"/>
  <c r="H171" i="3"/>
  <c r="H173" i="3" s="1"/>
  <c r="E175" i="3"/>
  <c r="E177" i="3" s="1"/>
  <c r="F175" i="3"/>
  <c r="F177" i="3" s="1"/>
  <c r="H11" i="3"/>
  <c r="H5" i="3" s="1"/>
  <c r="D15" i="3"/>
  <c r="C46" i="3"/>
  <c r="B46" i="3"/>
  <c r="G53" i="3"/>
  <c r="H58" i="3"/>
  <c r="B60" i="3"/>
  <c r="G69" i="3"/>
  <c r="B69" i="3"/>
  <c r="E71" i="3"/>
  <c r="C78" i="3"/>
  <c r="D78" i="3"/>
  <c r="D80" i="3" s="1"/>
  <c r="H89" i="3"/>
  <c r="H90" i="3"/>
  <c r="I90" i="3"/>
  <c r="C113" i="3"/>
  <c r="C115" i="3" s="1"/>
  <c r="B155" i="3"/>
  <c r="B164" i="3"/>
  <c r="B187" i="3" s="1"/>
  <c r="D46" i="3"/>
  <c r="H53" i="3"/>
  <c r="I53" i="3"/>
  <c r="H59" i="3"/>
  <c r="H66" i="3"/>
  <c r="H69" i="3"/>
  <c r="F71" i="3"/>
  <c r="G74" i="3"/>
  <c r="F74" i="3"/>
  <c r="F76" i="3" s="1"/>
  <c r="I85" i="3"/>
  <c r="I91" i="3"/>
  <c r="F93" i="3"/>
  <c r="G93" i="3"/>
  <c r="F85" i="3"/>
  <c r="G86" i="3" s="1"/>
  <c r="G100" i="3"/>
  <c r="B130" i="3"/>
  <c r="B122" i="3"/>
  <c r="B131" i="3"/>
  <c r="C130" i="3"/>
  <c r="G144" i="3"/>
  <c r="G146" i="3" s="1"/>
  <c r="B147" i="3"/>
  <c r="C148" i="3" s="1"/>
  <c r="C155" i="3"/>
  <c r="B161" i="3"/>
  <c r="C164" i="3"/>
  <c r="C193" i="3" s="1"/>
  <c r="C167" i="3"/>
  <c r="C169" i="3" s="1"/>
  <c r="D109" i="3"/>
  <c r="D111" i="3" s="1"/>
  <c r="C131" i="3"/>
  <c r="F138" i="3"/>
  <c r="D140" i="3"/>
  <c r="D142" i="3" s="1"/>
  <c r="H142" i="3"/>
  <c r="I151" i="3"/>
  <c r="J150" i="3"/>
  <c r="I153" i="3"/>
  <c r="F155" i="3"/>
  <c r="F161" i="3"/>
  <c r="B193" i="3"/>
  <c r="B192" i="3"/>
  <c r="G208" i="3"/>
  <c r="G202" i="3"/>
  <c r="C99" i="3"/>
  <c r="D103" i="3"/>
  <c r="D113" i="3"/>
  <c r="D115" i="3" s="1"/>
  <c r="F113" i="3"/>
  <c r="F115" i="3" s="1"/>
  <c r="F130" i="3"/>
  <c r="F131" i="3"/>
  <c r="H134" i="3"/>
  <c r="H159" i="3"/>
  <c r="G140" i="3"/>
  <c r="G142" i="3" s="1"/>
  <c r="F153" i="3"/>
  <c r="E164" i="3"/>
  <c r="E167" i="3"/>
  <c r="E169" i="3" s="1"/>
  <c r="D177" i="3"/>
  <c r="B184" i="3"/>
  <c r="J208" i="3"/>
  <c r="K195" i="3"/>
  <c r="L195" i="3" s="1"/>
  <c r="M195" i="3" s="1"/>
  <c r="N195" i="3" s="1"/>
  <c r="E197" i="3"/>
  <c r="E201" i="3"/>
  <c r="E202" i="3"/>
  <c r="E60" i="3"/>
  <c r="E91" i="3"/>
  <c r="H111" i="3"/>
  <c r="G130" i="3"/>
  <c r="G133" i="3"/>
  <c r="G136" i="3"/>
  <c r="G138" i="3" s="1"/>
  <c r="I144" i="3"/>
  <c r="I146" i="3" s="1"/>
  <c r="J143" i="3"/>
  <c r="K143" i="3" s="1"/>
  <c r="L143" i="3" s="1"/>
  <c r="M143" i="3" s="1"/>
  <c r="N143" i="3" s="1"/>
  <c r="D165" i="3"/>
  <c r="D190" i="3"/>
  <c r="F165" i="3"/>
  <c r="D183" i="3"/>
  <c r="F192" i="3"/>
  <c r="F193" i="3"/>
  <c r="I82" i="3"/>
  <c r="I84" i="3" s="1"/>
  <c r="G89" i="3"/>
  <c r="C93" i="3"/>
  <c r="C117" i="3"/>
  <c r="C118" i="3"/>
  <c r="D116" i="3"/>
  <c r="D122" i="3"/>
  <c r="F124" i="3"/>
  <c r="F125" i="3"/>
  <c r="I140" i="3"/>
  <c r="I142" i="3" s="1"/>
  <c r="J139" i="3"/>
  <c r="K139" i="3" s="1"/>
  <c r="L139" i="3" s="1"/>
  <c r="M139" i="3" s="1"/>
  <c r="N139" i="3" s="1"/>
  <c r="H190" i="3"/>
  <c r="G164" i="3"/>
  <c r="G183" i="3" s="1"/>
  <c r="G167" i="3"/>
  <c r="G169" i="3" s="1"/>
  <c r="C175" i="3"/>
  <c r="C177" i="3" s="1"/>
  <c r="D178" i="3"/>
  <c r="E179" i="3" s="1"/>
  <c r="D184" i="3"/>
  <c r="C204" i="3"/>
  <c r="C205" i="3"/>
  <c r="J73" i="3"/>
  <c r="K73" i="3" s="1"/>
  <c r="L73" i="3" s="1"/>
  <c r="M73" i="3" s="1"/>
  <c r="N73" i="3" s="1"/>
  <c r="J77" i="3"/>
  <c r="K77" i="3" s="1"/>
  <c r="L77" i="3" s="1"/>
  <c r="M77" i="3" s="1"/>
  <c r="N77" i="3" s="1"/>
  <c r="F99" i="3"/>
  <c r="E103" i="3"/>
  <c r="F116" i="3"/>
  <c r="G117" i="3" s="1"/>
  <c r="E116" i="3"/>
  <c r="E120" i="3"/>
  <c r="E121" i="3"/>
  <c r="E122" i="3"/>
  <c r="G124" i="3"/>
  <c r="N126" i="3"/>
  <c r="I133" i="3"/>
  <c r="I136" i="3"/>
  <c r="I138" i="3" s="1"/>
  <c r="J135" i="3"/>
  <c r="K135" i="3" s="1"/>
  <c r="L135" i="3" s="1"/>
  <c r="M135" i="3" s="1"/>
  <c r="N135" i="3" s="1"/>
  <c r="L157" i="3"/>
  <c r="H167" i="3"/>
  <c r="H169" i="3" s="1"/>
  <c r="E182" i="3"/>
  <c r="E184" i="3"/>
  <c r="E183" i="3"/>
  <c r="H183" i="3"/>
  <c r="F186" i="3"/>
  <c r="F187" i="3"/>
  <c r="H192" i="3"/>
  <c r="H184" i="3"/>
  <c r="D205" i="3"/>
  <c r="H197" i="3"/>
  <c r="J200" i="3"/>
  <c r="I201" i="3"/>
  <c r="C211" i="3"/>
  <c r="F151" i="3"/>
  <c r="G155" i="3"/>
  <c r="G161" i="3"/>
  <c r="J164" i="3"/>
  <c r="J193" i="3" s="1"/>
  <c r="B182" i="3"/>
  <c r="F183" i="3"/>
  <c r="C186" i="3"/>
  <c r="C192" i="3"/>
  <c r="E196" i="3"/>
  <c r="I197" i="3"/>
  <c r="B202" i="3"/>
  <c r="B208" i="3"/>
  <c r="D211" i="3"/>
  <c r="E211" i="3"/>
  <c r="B210" i="3"/>
  <c r="F211" i="3"/>
  <c r="G211" i="3"/>
  <c r="H211" i="3"/>
  <c r="B153" i="3"/>
  <c r="I205" i="3"/>
  <c r="I211" i="3"/>
  <c r="B183" i="3"/>
  <c r="F201" i="3"/>
  <c r="J166" i="3"/>
  <c r="K166" i="3" s="1"/>
  <c r="L166" i="3" s="1"/>
  <c r="M166" i="3" s="1"/>
  <c r="N166" i="3" s="1"/>
  <c r="J170" i="3"/>
  <c r="K170" i="3" s="1"/>
  <c r="L170" i="3" s="1"/>
  <c r="M170" i="3" s="1"/>
  <c r="N170" i="3" s="1"/>
  <c r="J174" i="3"/>
  <c r="K174" i="3" s="1"/>
  <c r="L174" i="3" s="1"/>
  <c r="M174" i="3" s="1"/>
  <c r="N174" i="3" s="1"/>
  <c r="J209" i="3"/>
  <c r="C3" i="3" l="1"/>
  <c r="B198" i="3"/>
  <c r="E87" i="3"/>
  <c r="E3" i="3"/>
  <c r="E13" i="3" s="1"/>
  <c r="I165" i="3"/>
  <c r="C94" i="3"/>
  <c r="F156" i="3"/>
  <c r="F152" i="3"/>
  <c r="C84" i="3"/>
  <c r="C152" i="3"/>
  <c r="E159" i="3"/>
  <c r="E162" i="3"/>
  <c r="E36" i="3"/>
  <c r="I187" i="3"/>
  <c r="I193" i="3"/>
  <c r="I190" i="3"/>
  <c r="H165" i="3"/>
  <c r="C87" i="3"/>
  <c r="H131" i="3"/>
  <c r="E152" i="3"/>
  <c r="E156" i="3"/>
  <c r="I103" i="3"/>
  <c r="D87" i="3"/>
  <c r="D86" i="3"/>
  <c r="I3" i="3"/>
  <c r="I16" i="3" s="1"/>
  <c r="G76" i="3"/>
  <c r="G9" i="3"/>
  <c r="F100" i="3"/>
  <c r="F94" i="3"/>
  <c r="F97" i="3"/>
  <c r="B87" i="3"/>
  <c r="C86" i="3"/>
  <c r="B86" i="3"/>
  <c r="B159" i="3"/>
  <c r="B134" i="3"/>
  <c r="B152" i="3"/>
  <c r="B3" i="3"/>
  <c r="C4" i="3" s="1"/>
  <c r="I117" i="3"/>
  <c r="J123" i="3"/>
  <c r="J125" i="3" s="1"/>
  <c r="I118" i="3"/>
  <c r="J116" i="3" s="1"/>
  <c r="K181" i="3"/>
  <c r="J184" i="3"/>
  <c r="J183" i="3"/>
  <c r="K208" i="3"/>
  <c r="G56" i="3"/>
  <c r="G55" i="3"/>
  <c r="K102" i="3"/>
  <c r="J128" i="3"/>
  <c r="F90" i="3"/>
  <c r="B179" i="3"/>
  <c r="B180" i="3"/>
  <c r="C12" i="3"/>
  <c r="C13" i="3"/>
  <c r="L97" i="3"/>
  <c r="H149" i="3"/>
  <c r="H148" i="3"/>
  <c r="J131" i="3"/>
  <c r="C183" i="2"/>
  <c r="C72" i="3" s="1"/>
  <c r="D12" i="3"/>
  <c r="J190" i="3"/>
  <c r="K164" i="3"/>
  <c r="H12" i="3"/>
  <c r="H13" i="3"/>
  <c r="C37" i="3"/>
  <c r="C36" i="3"/>
  <c r="E15" i="3"/>
  <c r="E16" i="3"/>
  <c r="E19" i="3"/>
  <c r="D18" i="3"/>
  <c r="C19" i="3"/>
  <c r="C18" i="3"/>
  <c r="K67" i="3"/>
  <c r="J69" i="3"/>
  <c r="J60" i="3"/>
  <c r="F132" i="2"/>
  <c r="L160" i="3"/>
  <c r="E9" i="3"/>
  <c r="E10" i="3"/>
  <c r="F9" i="3"/>
  <c r="E5" i="3"/>
  <c r="J121" i="3"/>
  <c r="K119" i="3"/>
  <c r="J122" i="3"/>
  <c r="K131" i="3"/>
  <c r="L129" i="3"/>
  <c r="I13" i="3"/>
  <c r="I12" i="3"/>
  <c r="I179" i="3"/>
  <c r="I180" i="3"/>
  <c r="J178" i="3" s="1"/>
  <c r="J185" i="3"/>
  <c r="J187" i="3" s="1"/>
  <c r="G13" i="3"/>
  <c r="G12" i="3"/>
  <c r="G5" i="3"/>
  <c r="G159" i="3"/>
  <c r="G134" i="3"/>
  <c r="G152" i="3"/>
  <c r="C187" i="3"/>
  <c r="K209" i="3"/>
  <c r="J211" i="3"/>
  <c r="G193" i="3"/>
  <c r="I152" i="3"/>
  <c r="F87" i="3"/>
  <c r="F86" i="3"/>
  <c r="I19" i="3"/>
  <c r="I18" i="3"/>
  <c r="L208" i="3"/>
  <c r="M206" i="3"/>
  <c r="L57" i="3"/>
  <c r="K59" i="3"/>
  <c r="G132" i="2"/>
  <c r="G203" i="2"/>
  <c r="K61" i="3"/>
  <c r="K63" i="3" s="1"/>
  <c r="J56" i="3"/>
  <c r="K54" i="3" s="1"/>
  <c r="L32" i="3"/>
  <c r="L31" i="3" s="1"/>
  <c r="M33" i="3"/>
  <c r="C97" i="3"/>
  <c r="C90" i="3"/>
  <c r="F159" i="3"/>
  <c r="F134" i="3"/>
  <c r="M157" i="3"/>
  <c r="B18" i="3"/>
  <c r="C6" i="3"/>
  <c r="C7" i="3"/>
  <c r="H20" i="2"/>
  <c r="H64" i="2"/>
  <c r="H76" i="2" s="1"/>
  <c r="H94" i="2" s="1"/>
  <c r="H96" i="2" s="1"/>
  <c r="D9" i="3"/>
  <c r="D5" i="3"/>
  <c r="I37" i="3"/>
  <c r="J37" i="3" s="1"/>
  <c r="K37" i="3" s="1"/>
  <c r="L37" i="3" s="1"/>
  <c r="M37" i="3" s="1"/>
  <c r="N37" i="3" s="1"/>
  <c r="I36" i="3"/>
  <c r="C190" i="3"/>
  <c r="C165" i="3"/>
  <c r="C80" i="3"/>
  <c r="F3" i="3"/>
  <c r="H86" i="3"/>
  <c r="H87" i="3"/>
  <c r="C132" i="2"/>
  <c r="C203" i="2"/>
  <c r="J153" i="3"/>
  <c r="K150" i="3"/>
  <c r="N97" i="3"/>
  <c r="K90" i="3"/>
  <c r="L88" i="3"/>
  <c r="K91" i="3"/>
  <c r="G199" i="3"/>
  <c r="G198" i="3"/>
  <c r="H118" i="3"/>
  <c r="H117" i="3"/>
  <c r="M24" i="3"/>
  <c r="E165" i="3"/>
  <c r="E190" i="3"/>
  <c r="E187" i="3"/>
  <c r="E193" i="3"/>
  <c r="E180" i="3"/>
  <c r="C180" i="3"/>
  <c r="M97" i="3"/>
  <c r="I149" i="3"/>
  <c r="C76" i="3"/>
  <c r="C198" i="3"/>
  <c r="C199" i="3"/>
  <c r="E148" i="3"/>
  <c r="E149" i="3"/>
  <c r="E196" i="2"/>
  <c r="E131" i="2"/>
  <c r="F203" i="2" s="1"/>
  <c r="H37" i="3"/>
  <c r="H36" i="3"/>
  <c r="L98" i="3"/>
  <c r="K100" i="3"/>
  <c r="H15" i="3"/>
  <c r="H16" i="3"/>
  <c r="D56" i="3"/>
  <c r="E55" i="3"/>
  <c r="D55" i="3"/>
  <c r="N24" i="3"/>
  <c r="H199" i="3"/>
  <c r="H198" i="3"/>
  <c r="F12" i="3"/>
  <c r="F5" i="3"/>
  <c r="H196" i="2"/>
  <c r="H131" i="2"/>
  <c r="H7" i="3"/>
  <c r="E198" i="3"/>
  <c r="E199" i="3"/>
  <c r="F198" i="3"/>
  <c r="G15" i="3"/>
  <c r="F15" i="3"/>
  <c r="G16" i="3"/>
  <c r="G10" i="3"/>
  <c r="D159" i="3"/>
  <c r="D162" i="3"/>
  <c r="D156" i="3"/>
  <c r="D134" i="3"/>
  <c r="D152" i="3"/>
  <c r="E134" i="3"/>
  <c r="L191" i="3"/>
  <c r="H56" i="3"/>
  <c r="H55" i="3"/>
  <c r="D132" i="2"/>
  <c r="D203" i="2"/>
  <c r="D180" i="3"/>
  <c r="D179" i="3"/>
  <c r="B162" i="3"/>
  <c r="E97" i="3"/>
  <c r="E94" i="3"/>
  <c r="E90" i="3"/>
  <c r="E100" i="3"/>
  <c r="G179" i="3"/>
  <c r="G180" i="3"/>
  <c r="H128" i="3"/>
  <c r="H103" i="3"/>
  <c r="H125" i="3"/>
  <c r="C196" i="2"/>
  <c r="E118" i="3"/>
  <c r="E117" i="3"/>
  <c r="D117" i="3"/>
  <c r="D118" i="3"/>
  <c r="C183" i="3"/>
  <c r="G149" i="3"/>
  <c r="J92" i="3"/>
  <c r="J94" i="3" s="1"/>
  <c r="I86" i="3"/>
  <c r="I87" i="3"/>
  <c r="J85" i="3" s="1"/>
  <c r="C179" i="3"/>
  <c r="H18" i="3"/>
  <c r="H19" i="3"/>
  <c r="B7" i="3"/>
  <c r="L52" i="3"/>
  <c r="K66" i="3"/>
  <c r="D3" i="3"/>
  <c r="D13" i="3" s="1"/>
  <c r="L41" i="3"/>
  <c r="K50" i="3"/>
  <c r="J49" i="3"/>
  <c r="N188" i="3"/>
  <c r="I134" i="3"/>
  <c r="J133" i="3"/>
  <c r="J152" i="3" s="1"/>
  <c r="I159" i="3"/>
  <c r="I162" i="3"/>
  <c r="I156" i="3"/>
  <c r="J203" i="3"/>
  <c r="J205" i="3" s="1"/>
  <c r="I199" i="3"/>
  <c r="I198" i="3"/>
  <c r="J197" i="3"/>
  <c r="J202" i="3"/>
  <c r="K200" i="3"/>
  <c r="F117" i="3"/>
  <c r="F118" i="3"/>
  <c r="G165" i="3"/>
  <c r="G190" i="3"/>
  <c r="B148" i="3"/>
  <c r="B149" i="3"/>
  <c r="B190" i="3"/>
  <c r="B165" i="3"/>
  <c r="B118" i="3"/>
  <c r="B117" i="3"/>
  <c r="I148" i="3"/>
  <c r="H179" i="3"/>
  <c r="H180" i="3"/>
  <c r="C56" i="3"/>
  <c r="C55" i="3"/>
  <c r="G187" i="3"/>
  <c r="I10" i="3"/>
  <c r="I9" i="3"/>
  <c r="I5" i="3"/>
  <c r="C159" i="3"/>
  <c r="C162" i="3"/>
  <c r="C156" i="3"/>
  <c r="C134" i="3"/>
  <c r="H143" i="2"/>
  <c r="K21" i="3"/>
  <c r="L23" i="3"/>
  <c r="J22" i="3"/>
  <c r="J45" i="3"/>
  <c r="J48" i="3"/>
  <c r="J35" i="3"/>
  <c r="C10" i="3" l="1"/>
  <c r="C16" i="3"/>
  <c r="K45" i="3"/>
  <c r="K48" i="3"/>
  <c r="K35" i="3"/>
  <c r="K22" i="3"/>
  <c r="L102" i="3"/>
  <c r="K128" i="3"/>
  <c r="K202" i="3"/>
  <c r="L200" i="3"/>
  <c r="H203" i="2"/>
  <c r="H132" i="2"/>
  <c r="J147" i="3"/>
  <c r="F4" i="3"/>
  <c r="F19" i="3"/>
  <c r="F10" i="3"/>
  <c r="K185" i="3"/>
  <c r="K187" i="3" s="1"/>
  <c r="J180" i="3"/>
  <c r="K178" i="3" s="1"/>
  <c r="D19" i="3"/>
  <c r="D16" i="3"/>
  <c r="M191" i="3"/>
  <c r="L193" i="3"/>
  <c r="M52" i="3"/>
  <c r="L66" i="3"/>
  <c r="D10" i="3"/>
  <c r="G7" i="3"/>
  <c r="G6" i="3"/>
  <c r="L67" i="3"/>
  <c r="K69" i="3"/>
  <c r="K133" i="3"/>
  <c r="J162" i="3"/>
  <c r="J159" i="3"/>
  <c r="H97" i="2"/>
  <c r="I95" i="2"/>
  <c r="I96" i="2" s="1"/>
  <c r="I97" i="2" s="1"/>
  <c r="J156" i="3"/>
  <c r="B19" i="3"/>
  <c r="L50" i="3"/>
  <c r="K49" i="3"/>
  <c r="M160" i="3"/>
  <c r="M41" i="3"/>
  <c r="K92" i="3"/>
  <c r="K94" i="3" s="1"/>
  <c r="J87" i="3"/>
  <c r="K85" i="3" s="1"/>
  <c r="G4" i="3"/>
  <c r="K211" i="3"/>
  <c r="L209" i="3"/>
  <c r="J17" i="3"/>
  <c r="J38" i="3"/>
  <c r="J42" i="3" s="1"/>
  <c r="J46" i="3"/>
  <c r="J14" i="3"/>
  <c r="N33" i="3"/>
  <c r="N32" i="3" s="1"/>
  <c r="M32" i="3"/>
  <c r="M31" i="3" s="1"/>
  <c r="N31" i="3" s="1"/>
  <c r="K203" i="3"/>
  <c r="K205" i="3" s="1"/>
  <c r="K197" i="3"/>
  <c r="J199" i="3"/>
  <c r="F7" i="3"/>
  <c r="F6" i="3"/>
  <c r="M98" i="3"/>
  <c r="L100" i="3"/>
  <c r="L91" i="3"/>
  <c r="L90" i="3"/>
  <c r="M88" i="3"/>
  <c r="J5" i="3"/>
  <c r="J36" i="3"/>
  <c r="F16" i="3"/>
  <c r="F13" i="3"/>
  <c r="N157" i="3"/>
  <c r="L60" i="3"/>
  <c r="L59" i="3"/>
  <c r="M57" i="3"/>
  <c r="L119" i="3"/>
  <c r="K121" i="3"/>
  <c r="K122" i="3"/>
  <c r="K190" i="3"/>
  <c r="L164" i="3"/>
  <c r="L21" i="3"/>
  <c r="M23" i="3"/>
  <c r="B10" i="3"/>
  <c r="B16" i="3"/>
  <c r="B13" i="3"/>
  <c r="E6" i="3"/>
  <c r="E7" i="3"/>
  <c r="H6" i="3"/>
  <c r="L61" i="3"/>
  <c r="L63" i="3" s="1"/>
  <c r="K56" i="3"/>
  <c r="L54" i="3" s="1"/>
  <c r="J3" i="3"/>
  <c r="I7" i="3"/>
  <c r="I6" i="3"/>
  <c r="K193" i="3"/>
  <c r="E132" i="2"/>
  <c r="E203" i="2"/>
  <c r="L150" i="3"/>
  <c r="K153" i="3"/>
  <c r="K60" i="3"/>
  <c r="M129" i="3"/>
  <c r="L181" i="3"/>
  <c r="K183" i="3"/>
  <c r="K184" i="3"/>
  <c r="D6" i="3"/>
  <c r="D7" i="3"/>
  <c r="N206" i="3"/>
  <c r="N208" i="3" s="1"/>
  <c r="M208" i="3"/>
  <c r="J118" i="3"/>
  <c r="K116" i="3" s="1"/>
  <c r="K123" i="3"/>
  <c r="K125" i="3" s="1"/>
  <c r="J19" i="3" l="1"/>
  <c r="J18" i="3"/>
  <c r="N191" i="3"/>
  <c r="N23" i="3"/>
  <c r="N21" i="3" s="1"/>
  <c r="M21" i="3"/>
  <c r="M102" i="3"/>
  <c r="M131" i="3" s="1"/>
  <c r="L128" i="3"/>
  <c r="L133" i="3"/>
  <c r="L3" i="3" s="1"/>
  <c r="K159" i="3"/>
  <c r="K162" i="3"/>
  <c r="M61" i="3"/>
  <c r="M63" i="3" s="1"/>
  <c r="L56" i="3"/>
  <c r="M54" i="3" s="1"/>
  <c r="N129" i="3"/>
  <c r="J43" i="3"/>
  <c r="J44" i="3"/>
  <c r="M67" i="3"/>
  <c r="L69" i="3"/>
  <c r="K36" i="3"/>
  <c r="K5" i="3"/>
  <c r="L153" i="3"/>
  <c r="M150" i="3"/>
  <c r="L197" i="3"/>
  <c r="L203" i="3"/>
  <c r="L205" i="3" s="1"/>
  <c r="K199" i="3"/>
  <c r="L184" i="3"/>
  <c r="M181" i="3"/>
  <c r="L183" i="3"/>
  <c r="M164" i="3"/>
  <c r="L190" i="3"/>
  <c r="L185" i="3"/>
  <c r="L187" i="3" s="1"/>
  <c r="K180" i="3"/>
  <c r="L178" i="3" s="1"/>
  <c r="L131" i="3"/>
  <c r="M91" i="3"/>
  <c r="M90" i="3"/>
  <c r="N88" i="3"/>
  <c r="J16" i="3"/>
  <c r="J15" i="3"/>
  <c r="N160" i="3"/>
  <c r="K17" i="3"/>
  <c r="K38" i="3"/>
  <c r="N52" i="3"/>
  <c r="N66" i="3" s="1"/>
  <c r="M66" i="3"/>
  <c r="L92" i="3"/>
  <c r="L94" i="3" s="1"/>
  <c r="K87" i="3"/>
  <c r="L85" i="3" s="1"/>
  <c r="K3" i="3"/>
  <c r="N98" i="3"/>
  <c r="N100" i="3" s="1"/>
  <c r="M100" i="3"/>
  <c r="L211" i="3"/>
  <c r="M209" i="3"/>
  <c r="L202" i="3"/>
  <c r="M200" i="3"/>
  <c r="L48" i="3"/>
  <c r="L35" i="3"/>
  <c r="L45" i="3"/>
  <c r="L22" i="3"/>
  <c r="N41" i="3"/>
  <c r="J6" i="3"/>
  <c r="J7" i="3"/>
  <c r="K152" i="3"/>
  <c r="M119" i="3"/>
  <c r="L122" i="3"/>
  <c r="L121" i="3"/>
  <c r="K46" i="3"/>
  <c r="K14" i="3"/>
  <c r="L123" i="3"/>
  <c r="L125" i="3" s="1"/>
  <c r="K118" i="3"/>
  <c r="L116" i="3" s="1"/>
  <c r="N57" i="3"/>
  <c r="M59" i="3"/>
  <c r="J8" i="3"/>
  <c r="J39" i="3"/>
  <c r="J40" i="3"/>
  <c r="L49" i="3"/>
  <c r="M50" i="3"/>
  <c r="K154" i="3"/>
  <c r="K156" i="3" s="1"/>
  <c r="J149" i="3"/>
  <c r="K147" i="3" s="1"/>
  <c r="M133" i="3" l="1"/>
  <c r="L159" i="3"/>
  <c r="L162" i="3"/>
  <c r="N164" i="3"/>
  <c r="N190" i="3" s="1"/>
  <c r="M190" i="3"/>
  <c r="N67" i="3"/>
  <c r="N69" i="3" s="1"/>
  <c r="M69" i="3"/>
  <c r="M48" i="3"/>
  <c r="M35" i="3"/>
  <c r="M3" i="3"/>
  <c r="M45" i="3"/>
  <c r="M22" i="3"/>
  <c r="K7" i="3"/>
  <c r="K6" i="3"/>
  <c r="N200" i="3"/>
  <c r="N202" i="3" s="1"/>
  <c r="M202" i="3"/>
  <c r="M184" i="3"/>
  <c r="M183" i="3"/>
  <c r="N181" i="3"/>
  <c r="M60" i="3"/>
  <c r="N59" i="3"/>
  <c r="N60" i="3"/>
  <c r="N90" i="3"/>
  <c r="N91" i="3"/>
  <c r="M185" i="3"/>
  <c r="M187" i="3" s="1"/>
  <c r="L180" i="3"/>
  <c r="M178" i="3" s="1"/>
  <c r="L17" i="3"/>
  <c r="L38" i="3"/>
  <c r="N119" i="3"/>
  <c r="M122" i="3"/>
  <c r="M121" i="3"/>
  <c r="J10" i="3"/>
  <c r="J9" i="3"/>
  <c r="M211" i="3"/>
  <c r="N209" i="3"/>
  <c r="N211" i="3" s="1"/>
  <c r="J11" i="3"/>
  <c r="L118" i="3"/>
  <c r="M116" i="3" s="1"/>
  <c r="M123" i="3"/>
  <c r="M125" i="3" s="1"/>
  <c r="M203" i="3"/>
  <c r="M205" i="3" s="1"/>
  <c r="L199" i="3"/>
  <c r="M197" i="3"/>
  <c r="M193" i="3"/>
  <c r="K8" i="3"/>
  <c r="K40" i="3"/>
  <c r="K39" i="3"/>
  <c r="N102" i="3"/>
  <c r="N128" i="3" s="1"/>
  <c r="M128" i="3"/>
  <c r="N150" i="3"/>
  <c r="M152" i="3"/>
  <c r="M153" i="3"/>
  <c r="N61" i="3"/>
  <c r="N63" i="3" s="1"/>
  <c r="M56" i="3"/>
  <c r="N54" i="3" s="1"/>
  <c r="N56" i="3" s="1"/>
  <c r="N50" i="3"/>
  <c r="N49" i="3" s="1"/>
  <c r="M49" i="3"/>
  <c r="L36" i="3"/>
  <c r="K42" i="3"/>
  <c r="K19" i="3"/>
  <c r="K18" i="3"/>
  <c r="N35" i="3"/>
  <c r="N45" i="3"/>
  <c r="N22" i="3"/>
  <c r="L87" i="3"/>
  <c r="M85" i="3" s="1"/>
  <c r="M92" i="3"/>
  <c r="M94" i="3" s="1"/>
  <c r="K149" i="3"/>
  <c r="L147" i="3" s="1"/>
  <c r="L5" i="3" s="1"/>
  <c r="L154" i="3"/>
  <c r="L156" i="3" s="1"/>
  <c r="K15" i="3"/>
  <c r="K16" i="3"/>
  <c r="L14" i="3"/>
  <c r="L46" i="3"/>
  <c r="L152" i="3"/>
  <c r="N131" i="3" l="1"/>
  <c r="N193" i="3"/>
  <c r="L7" i="3"/>
  <c r="L6" i="3"/>
  <c r="M46" i="3"/>
  <c r="M14" i="3"/>
  <c r="N14" i="3"/>
  <c r="N46" i="3"/>
  <c r="L19" i="3"/>
  <c r="L18" i="3"/>
  <c r="K9" i="3"/>
  <c r="K10" i="3"/>
  <c r="N92" i="3"/>
  <c r="N94" i="3" s="1"/>
  <c r="M87" i="3"/>
  <c r="N85" i="3" s="1"/>
  <c r="N87" i="3" s="1"/>
  <c r="M36" i="3"/>
  <c r="M42" i="3"/>
  <c r="N197" i="3"/>
  <c r="N199" i="3" s="1"/>
  <c r="N203" i="3"/>
  <c r="N205" i="3" s="1"/>
  <c r="M199" i="3"/>
  <c r="N48" i="3"/>
  <c r="L16" i="3"/>
  <c r="L15" i="3"/>
  <c r="J13" i="3"/>
  <c r="J12" i="3"/>
  <c r="M17" i="3"/>
  <c r="M38" i="3"/>
  <c r="L40" i="3"/>
  <c r="L8" i="3"/>
  <c r="L39" i="3"/>
  <c r="N123" i="3"/>
  <c r="N125" i="3" s="1"/>
  <c r="M118" i="3"/>
  <c r="N116" i="3" s="1"/>
  <c r="N118" i="3" s="1"/>
  <c r="K11" i="3"/>
  <c r="N184" i="3"/>
  <c r="N183" i="3"/>
  <c r="M180" i="3"/>
  <c r="N178" i="3" s="1"/>
  <c r="N180" i="3" s="1"/>
  <c r="N185" i="3"/>
  <c r="N187" i="3" s="1"/>
  <c r="K44" i="3"/>
  <c r="K43" i="3"/>
  <c r="N121" i="3"/>
  <c r="N122" i="3"/>
  <c r="N36" i="3"/>
  <c r="N153" i="3"/>
  <c r="M154" i="3"/>
  <c r="M156" i="3" s="1"/>
  <c r="L149" i="3"/>
  <c r="M147" i="3" s="1"/>
  <c r="L42" i="3"/>
  <c r="N133" i="3"/>
  <c r="N152" i="3" s="1"/>
  <c r="M159" i="3"/>
  <c r="M162" i="3"/>
  <c r="K12" i="3" l="1"/>
  <c r="K13" i="3"/>
  <c r="M149" i="3"/>
  <c r="N147" i="3" s="1"/>
  <c r="N154" i="3"/>
  <c r="N156" i="3" s="1"/>
  <c r="N15" i="3"/>
  <c r="M5" i="3"/>
  <c r="L44" i="3"/>
  <c r="L43" i="3"/>
  <c r="N17" i="3"/>
  <c r="N38" i="3"/>
  <c r="M16" i="3"/>
  <c r="M15" i="3"/>
  <c r="L9" i="3"/>
  <c r="L10" i="3"/>
  <c r="M44" i="3"/>
  <c r="M43" i="3"/>
  <c r="L11" i="3"/>
  <c r="M39" i="3"/>
  <c r="M40" i="3"/>
  <c r="M8" i="3"/>
  <c r="N159" i="3"/>
  <c r="N3" i="3"/>
  <c r="N16" i="3" s="1"/>
  <c r="N162" i="3"/>
  <c r="M19" i="3"/>
  <c r="M18" i="3"/>
  <c r="M10" i="3" l="1"/>
  <c r="M9" i="3"/>
  <c r="N18" i="3"/>
  <c r="N19" i="3"/>
  <c r="L12" i="3"/>
  <c r="L13" i="3"/>
  <c r="N40" i="3"/>
  <c r="N39" i="3"/>
  <c r="N8" i="3"/>
  <c r="N42" i="3"/>
  <c r="M7" i="3"/>
  <c r="M6" i="3"/>
  <c r="M11" i="3"/>
  <c r="N149" i="3"/>
  <c r="N5" i="3"/>
  <c r="N10" i="3" l="1"/>
  <c r="N9" i="3"/>
  <c r="N43" i="3"/>
  <c r="N44" i="3"/>
  <c r="N6" i="3"/>
  <c r="N7" i="3"/>
  <c r="N11" i="3"/>
  <c r="M13" i="3"/>
  <c r="M12" i="3"/>
  <c r="N12" i="3" l="1"/>
  <c r="N13" i="3"/>
  <c r="B1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<sst xmlns="http://schemas.openxmlformats.org/spreadsheetml/2006/main" count="428" uniqueCount="152">
  <si>
    <t>Instructions</t>
  </si>
  <si>
    <t>Forecast the segmental revenue model in the "Segmental forecast" sheet in accordance to the example provided with all the calculations</t>
  </si>
  <si>
    <t>Note that the revenue growth is the add up of Organic growth + Currency impact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</si>
  <si>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</si>
  <si>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</si>
  <si>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</si>
  <si>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</si>
  <si>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</si>
  <si>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</si>
  <si>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</si>
  <si>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</si>
  <si>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</si>
  <si>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</si>
  <si>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</si>
  <si>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</si>
  <si>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</si>
  <si>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</si>
  <si>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</si>
  <si>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</si>
  <si>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</si>
  <si>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</si>
  <si>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</si>
  <si>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</si>
  <si>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</si>
  <si>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</si>
  <si>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</si>
  <si>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</si>
  <si>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</si>
  <si>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</si>
  <si>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</si>
  <si>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</si>
  <si>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</si>
  <si>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</si>
  <si>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</si>
  <si>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</si>
  <si>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</si>
  <si>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</si>
  <si>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</si>
  <si>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</si>
  <si>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</si>
  <si>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</si>
  <si>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</si>
  <si>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</si>
  <si>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</si>
  <si>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</si>
  <si>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</si>
  <si>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</si>
  <si>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</si>
  <si>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</si>
  <si>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</si>
  <si>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</si>
  <si>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</si>
  <si>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</si>
  <si>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</si>
  <si>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</si>
  <si>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</si>
  <si>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</si>
  <si>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</si>
  <si>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</si>
  <si>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</si>
  <si>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</si>
  <si>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</si>
  <si>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</si>
  <si>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</si>
  <si>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</si>
  <si>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</si>
  <si>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</si>
  <si>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</si>
  <si>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</si>
  <si>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</si>
  <si>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</si>
  <si>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</si>
  <si>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</si>
  <si>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</si>
  <si>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</si>
  <si>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</si>
  <si>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</si>
  <si>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</si>
  <si>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</si>
  <si>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</si>
  <si>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</si>
  <si>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</si>
  <si>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</si>
  <si>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</si>
  <si>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</si>
  <si>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</si>
  <si>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</si>
  <si>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</si>
  <si>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</si>
  <si>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</si>
  <si>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</si>
  <si>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</si>
  <si>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</si>
  <si>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</si>
  <si>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</si>
  <si>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</si>
  <si>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</si>
  <si>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</si>
  <si>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</si>
  <si>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</si>
  <si>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</si>
  <si>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</si>
  <si>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</si>
  <si>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</si>
  <si>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</si>
  <si>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</si>
  <si>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</si>
  <si>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</si>
  <si>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</si>
  <si>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</si>
  <si>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</si>
  <si>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</si>
  <si>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</si>
  <si>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</si>
  <si>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</si>
  <si>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</si>
  <si>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</si>
  <si>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</si>
  <si>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</si>
  <si>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</si>
  <si>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</si>
  <si>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</si>
  <si>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</si>
  <si>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</si>
  <si>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</si>
  <si>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</si>
  <si>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</si>
  <si>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</si>
  <si>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</si>
  <si>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</si>
  <si>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</si>
  <si>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</si>
  <si>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</si>
  <si>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</si>
  <si>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</si>
  <si>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</si>
  <si>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</si>
  <si>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</si>
  <si>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</si>
  <si>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</si>
  <si>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</si>
  <si>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</si>
  <si>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</si>
  <si>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</si>
  <si>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</si>
  <si>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</si>
  <si>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</si>
  <si>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should be forecasted based on margins</t>
  </si>
  <si>
    <t>EBITDA - D&amp;A</t>
  </si>
  <si>
    <t>Multiply by the forecast margin from the same period</t>
  </si>
  <si>
    <t>This should be a forecast number not calculated number(kept equal to 2022 number)</t>
  </si>
  <si>
    <t>should be the addition of Footwear, apparel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</si>
</sst>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</numFmts>
  <fonts count="13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2" fillId="0" borderId="0" applyBorder="0" applyProtection="0"/>
    <xf numFmtId="9" fontId="12" fillId="0" borderId="0" applyBorder="0" applyProtection="0"/>
    <xf numFmtId="164" fontId="12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2" fillId="0" borderId="0" xfId="1" applyNumberFormat="1" applyBorder="1" applyProtection="1"/>
    <xf numFmtId="0" fontId="0" fillId="0" borderId="1" xfId="0" applyBorder="1"/>
    <xf numFmtId="166" fontId="12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2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167" fontId="7" fillId="0" borderId="0" xfId="2" applyNumberFormat="1" applyFont="1" applyBorder="1" applyProtection="1"/>
    <xf numFmtId="0" fontId="8" fillId="0" borderId="0" xfId="0" applyFont="1" applyAlignment="1">
      <alignment horizontal="left" indent="2"/>
    </xf>
    <xf numFmtId="167" fontId="8" fillId="0" borderId="0" xfId="2" applyNumberFormat="1" applyFont="1" applyBorder="1" applyProtection="1"/>
    <xf numFmtId="167" fontId="7" fillId="0" borderId="1" xfId="2" applyNumberFormat="1" applyFont="1" applyBorder="1" applyProtection="1"/>
    <xf numFmtId="0" fontId="8" fillId="0" borderId="2" xfId="0" applyFont="1" applyBorder="1"/>
    <xf numFmtId="167" fontId="7" fillId="0" borderId="2" xfId="2" applyNumberFormat="1" applyFont="1" applyBorder="1" applyProtection="1"/>
    <xf numFmtId="167" fontId="8" fillId="0" borderId="2" xfId="2" applyNumberFormat="1" applyFont="1" applyBorder="1" applyProtection="1"/>
    <xf numFmtId="0" fontId="8" fillId="0" borderId="0" xfId="0" applyFont="1" applyAlignment="1">
      <alignment horizontal="left" indent="1"/>
    </xf>
    <xf numFmtId="0" fontId="7" fillId="0" borderId="3" xfId="0" applyFont="1" applyBorder="1"/>
    <xf numFmtId="167" fontId="7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0" fillId="0" borderId="0" xfId="1" applyNumberFormat="1" applyFont="1" applyBorder="1" applyAlignment="1" applyProtection="1">
      <alignment horizontal="left" indent="1"/>
    </xf>
    <xf numFmtId="10" fontId="0" fillId="0" borderId="0" xfId="0" applyNumberFormat="1"/>
    <xf numFmtId="167" fontId="8" fillId="0" borderId="0" xfId="2" applyNumberFormat="1" applyFont="1" applyBorder="1" applyAlignment="1" applyProtection="1">
      <alignment horizontal="right"/>
    </xf>
    <xf numFmtId="4" fontId="5" fillId="0" borderId="0" xfId="0" applyNumberFormat="1" applyFont="1"/>
    <xf numFmtId="166" fontId="5" fillId="3" borderId="0" xfId="5" applyNumberFormat="1" applyFont="1" applyBorder="1" applyProtection="1"/>
    <xf numFmtId="166" fontId="10" fillId="0" borderId="0" xfId="1" applyNumberFormat="1" applyFont="1" applyBorder="1" applyAlignment="1" applyProtection="1">
      <alignment horizontal="left" indent="2"/>
    </xf>
    <xf numFmtId="166" fontId="12" fillId="0" borderId="0" xfId="1" applyNumberFormat="1" applyBorder="1" applyAlignment="1" applyProtection="1">
      <alignment horizontal="left" indent="1"/>
    </xf>
    <xf numFmtId="167" fontId="11" fillId="7" borderId="0" xfId="2" applyNumberFormat="1" applyFont="1" applyFill="1" applyBorder="1" applyProtection="1"/>
    <xf numFmtId="166" fontId="5" fillId="0" borderId="0" xfId="0" applyNumberFormat="1" applyFont="1"/>
    <xf numFmtId="167" fontId="0" fillId="0" borderId="0" xfId="0" applyNumberFormat="1"/>
    <xf numFmtId="166" fontId="0" fillId="0" borderId="0" xfId="5" applyNumberFormat="1" applyFont="1" applyFill="1" applyBorder="1" applyProtection="1"/>
    <xf numFmtId="10" fontId="0" fillId="0" borderId="0" xfId="5" applyNumberFormat="1" applyFont="1" applyFill="1" applyBorder="1" applyProtection="1"/>
    <xf numFmtId="166" fontId="0" fillId="0" borderId="0" xfId="0" applyNumberFormat="1"/>
    <xf numFmtId="166" fontId="5" fillId="0" borderId="0" xfId="5" applyNumberFormat="1" applyFont="1" applyFill="1" applyBorder="1" applyProtection="1"/>
    <xf numFmtId="0" fontId="5" fillId="8" borderId="0" xfId="0" applyFont="1" applyFill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10982880</xdr:colOff>
      <xdr:row>19</xdr:row>
      <xdr:rowOff>8640</xdr:rowOff>
    </xdr:from>
    <xdr:to>
      <xdr:col>0</xdr:col>
      <xdr:colOff>12130200</xdr:colOff>
      <xdr:row>22</xdr:row>
      <xdr:rowOff>98280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82880" y="3561480"/>
          <a:ext cx="114732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Organic growth rate %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540360</xdr:colOff>
      <xdr:row>19</xdr:row>
      <xdr:rowOff>38880</xdr:rowOff>
    </xdr:from>
    <xdr:to>
      <xdr:col>3</xdr:col>
      <xdr:colOff>463680</xdr:colOff>
      <xdr:row>22</xdr:row>
      <xdr:rowOff>128520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66840" y="3591720"/>
          <a:ext cx="114624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Currency exchange impact %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11906640</xdr:colOff>
      <xdr:row>12</xdr:row>
      <xdr:rowOff>121680</xdr:rowOff>
    </xdr:from>
    <xdr:to>
      <xdr:col>2</xdr:col>
      <xdr:colOff>15480</xdr:colOff>
      <xdr:row>16</xdr:row>
      <xdr:rowOff>30240</xdr:rowOff>
    </xdr:to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06640" y="2407680"/>
          <a:ext cx="114660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Total revenue growth rate %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9754200</xdr:colOff>
      <xdr:row>12</xdr:row>
      <xdr:rowOff>129240</xdr:rowOff>
    </xdr:from>
    <xdr:to>
      <xdr:col>0</xdr:col>
      <xdr:colOff>10901520</xdr:colOff>
      <xdr:row>16</xdr:row>
      <xdr:rowOff>37800</xdr:rowOff>
    </xdr:to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54200" y="2415240"/>
          <a:ext cx="114732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Previous year revenue X (1+ growth rate)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7216200</xdr:colOff>
      <xdr:row>12</xdr:row>
      <xdr:rowOff>83880</xdr:rowOff>
    </xdr:from>
    <xdr:to>
      <xdr:col>0</xdr:col>
      <xdr:colOff>8363520</xdr:colOff>
      <xdr:row>15</xdr:row>
      <xdr:rowOff>173520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16200" y="2369880"/>
          <a:ext cx="1147320" cy="632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Projected revenue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8589600</xdr:colOff>
      <xdr:row>13</xdr:row>
      <xdr:rowOff>159120</xdr:rowOff>
    </xdr:from>
    <xdr:to>
      <xdr:col>0</xdr:col>
      <xdr:colOff>9504000</xdr:colOff>
      <xdr:row>13</xdr:row>
      <xdr:rowOff>159480</xdr:rowOff>
    </xdr:to>
    <xdr:sp macro="" textlink="">
      <xdr:nvSpPr>
        <xdr:cNvPr id="7" name="Straight Arrow Connector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89600" y="2626200"/>
          <a:ext cx="914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10942920</xdr:colOff>
      <xdr:row>14</xdr:row>
      <xdr:rowOff>23760</xdr:rowOff>
    </xdr:from>
    <xdr:to>
      <xdr:col>0</xdr:col>
      <xdr:colOff>11857320</xdr:colOff>
      <xdr:row>14</xdr:row>
      <xdr:rowOff>24120</xdr:rowOff>
    </xdr:to>
    <xdr:sp macro="" textlink="">
      <xdr:nvSpPr>
        <xdr:cNvPr id="8" name="Straight Arrow Connector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942920" y="2671560"/>
          <a:ext cx="9144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11807280</xdr:colOff>
      <xdr:row>16</xdr:row>
      <xdr:rowOff>140040</xdr:rowOff>
    </xdr:from>
    <xdr:to>
      <xdr:col>2</xdr:col>
      <xdr:colOff>193320</xdr:colOff>
      <xdr:row>18</xdr:row>
      <xdr:rowOff>135360</xdr:rowOff>
    </xdr:to>
    <xdr:sp macro="" textlink="">
      <xdr:nvSpPr>
        <xdr:cNvPr id="9" name="Right Brac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 flipV="1">
          <a:off x="12340440" y="2616480"/>
          <a:ext cx="357120" cy="142380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434520</xdr:colOff>
      <xdr:row>15</xdr:row>
      <xdr:rowOff>119160</xdr:rowOff>
    </xdr:from>
    <xdr:to>
      <xdr:col>0</xdr:col>
      <xdr:colOff>2003040</xdr:colOff>
      <xdr:row>26</xdr:row>
      <xdr:rowOff>142560</xdr:rowOff>
    </xdr:to>
    <xdr:sp macro="" textlink="">
      <xdr:nvSpPr>
        <xdr:cNvPr id="10" name="TextBox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34520" y="2948040"/>
          <a:ext cx="1568520" cy="20142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Nike Group: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Revenue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EBITDA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PPE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Capex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Depreciation &amp; Amortization</a:t>
          </a:r>
          <a:endParaRPr lang="en-GB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EBIT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12</xdr:row>
      <xdr:rowOff>122040</xdr:rowOff>
    </xdr:from>
    <xdr:to>
      <xdr:col>0</xdr:col>
      <xdr:colOff>4471920</xdr:colOff>
      <xdr:row>14</xdr:row>
      <xdr:rowOff>112320</xdr:rowOff>
    </xdr:to>
    <xdr:sp macro="" textlink="">
      <xdr:nvSpPr>
        <xdr:cNvPr id="11" name="Text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44120" y="2408040"/>
          <a:ext cx="1027800" cy="352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North America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15</xdr:row>
      <xdr:rowOff>171000</xdr:rowOff>
    </xdr:from>
    <xdr:to>
      <xdr:col>0</xdr:col>
      <xdr:colOff>4471920</xdr:colOff>
      <xdr:row>20</xdr:row>
      <xdr:rowOff>95760</xdr:rowOff>
    </xdr:to>
    <xdr:sp macro="" textlink="">
      <xdr:nvSpPr>
        <xdr:cNvPr id="12" name="TextBox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444120" y="2999880"/>
          <a:ext cx="1027800" cy="8298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Europe, Middle East &amp; Africa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21</xdr:row>
      <xdr:rowOff>82440</xdr:rowOff>
    </xdr:from>
    <xdr:to>
      <xdr:col>0</xdr:col>
      <xdr:colOff>4471920</xdr:colOff>
      <xdr:row>23</xdr:row>
      <xdr:rowOff>72360</xdr:rowOff>
    </xdr:to>
    <xdr:sp macro="" textlink="">
      <xdr:nvSpPr>
        <xdr:cNvPr id="13" name="TextBox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44120" y="3997080"/>
          <a:ext cx="1027800" cy="352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Greater China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25</xdr:row>
      <xdr:rowOff>87120</xdr:rowOff>
    </xdr:from>
    <xdr:to>
      <xdr:col>0</xdr:col>
      <xdr:colOff>4456800</xdr:colOff>
      <xdr:row>29</xdr:row>
      <xdr:rowOff>27000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429000" y="4725720"/>
          <a:ext cx="1027800" cy="6638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Asia Pacific &amp; Latin America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30</xdr:row>
      <xdr:rowOff>2880</xdr:rowOff>
    </xdr:from>
    <xdr:to>
      <xdr:col>0</xdr:col>
      <xdr:colOff>4456800</xdr:colOff>
      <xdr:row>31</xdr:row>
      <xdr:rowOff>174240</xdr:rowOff>
    </xdr:to>
    <xdr:sp macro="" textlink="">
      <xdr:nvSpPr>
        <xdr:cNvPr id="15" name="TextBox 1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29000" y="5546520"/>
          <a:ext cx="1027800" cy="352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Converse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2061360</xdr:colOff>
      <xdr:row>13</xdr:row>
      <xdr:rowOff>148320</xdr:rowOff>
    </xdr:from>
    <xdr:to>
      <xdr:col>0</xdr:col>
      <xdr:colOff>3317760</xdr:colOff>
      <xdr:row>21</xdr:row>
      <xdr:rowOff>143640</xdr:rowOff>
    </xdr:to>
    <xdr:sp macro="" textlink="">
      <xdr:nvSpPr>
        <xdr:cNvPr id="16" name="Elbow Connector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2061360" y="2615400"/>
          <a:ext cx="1256400" cy="14428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2076480</xdr:colOff>
      <xdr:row>18</xdr:row>
      <xdr:rowOff>43200</xdr:rowOff>
    </xdr:from>
    <xdr:to>
      <xdr:col>0</xdr:col>
      <xdr:colOff>3302280</xdr:colOff>
      <xdr:row>21</xdr:row>
      <xdr:rowOff>143280</xdr:rowOff>
    </xdr:to>
    <xdr:sp macro="" textlink="">
      <xdr:nvSpPr>
        <xdr:cNvPr id="17" name="Elbow Connector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2076480" y="3414960"/>
          <a:ext cx="1225800" cy="6429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2068920</xdr:colOff>
      <xdr:row>21</xdr:row>
      <xdr:rowOff>134640</xdr:rowOff>
    </xdr:from>
    <xdr:to>
      <xdr:col>0</xdr:col>
      <xdr:colOff>3309840</xdr:colOff>
      <xdr:row>22</xdr:row>
      <xdr:rowOff>87480</xdr:rowOff>
    </xdr:to>
    <xdr:sp macro="" textlink="">
      <xdr:nvSpPr>
        <xdr:cNvPr id="18" name="Elbow Connector 2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068920" y="4049280"/>
          <a:ext cx="1240920" cy="1339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2072520</xdr:colOff>
      <xdr:row>21</xdr:row>
      <xdr:rowOff>147600</xdr:rowOff>
    </xdr:from>
    <xdr:to>
      <xdr:col>0</xdr:col>
      <xdr:colOff>3336480</xdr:colOff>
      <xdr:row>25</xdr:row>
      <xdr:rowOff>170280</xdr:rowOff>
    </xdr:to>
    <xdr:sp macro="" textlink="">
      <xdr:nvSpPr>
        <xdr:cNvPr id="19" name="Elbow Connector 2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72520" y="4062240"/>
          <a:ext cx="1263960" cy="7466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2122200</xdr:colOff>
      <xdr:row>21</xdr:row>
      <xdr:rowOff>147600</xdr:rowOff>
    </xdr:from>
    <xdr:to>
      <xdr:col>0</xdr:col>
      <xdr:colOff>3287160</xdr:colOff>
      <xdr:row>30</xdr:row>
      <xdr:rowOff>2880</xdr:rowOff>
    </xdr:to>
    <xdr:sp macro="" textlink="">
      <xdr:nvSpPr>
        <xdr:cNvPr id="20" name="Elbow Connector 5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122200" y="4062240"/>
          <a:ext cx="1164960" cy="14842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4473000</xdr:colOff>
      <xdr:row>13</xdr:row>
      <xdr:rowOff>15120</xdr:rowOff>
    </xdr:from>
    <xdr:to>
      <xdr:col>0</xdr:col>
      <xdr:colOff>5180760</xdr:colOff>
      <xdr:row>14</xdr:row>
      <xdr:rowOff>66960</xdr:rowOff>
    </xdr:to>
    <xdr:sp macro="" textlink="">
      <xdr:nvSpPr>
        <xdr:cNvPr id="21" name="Elbow Connector 7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473000" y="2482200"/>
          <a:ext cx="707760" cy="2325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5257800</xdr:colOff>
      <xdr:row>9</xdr:row>
      <xdr:rowOff>0</xdr:rowOff>
    </xdr:from>
    <xdr:to>
      <xdr:col>0</xdr:col>
      <xdr:colOff>6231960</xdr:colOff>
      <xdr:row>10</xdr:row>
      <xdr:rowOff>96840</xdr:rowOff>
    </xdr:to>
    <xdr:sp macro="" textlink="">
      <xdr:nvSpPr>
        <xdr:cNvPr id="22" name="TextBox 6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257800" y="174312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11</xdr:row>
      <xdr:rowOff>83160</xdr:rowOff>
    </xdr:from>
    <xdr:to>
      <xdr:col>0</xdr:col>
      <xdr:colOff>6194160</xdr:colOff>
      <xdr:row>12</xdr:row>
      <xdr:rowOff>127080</xdr:rowOff>
    </xdr:to>
    <xdr:sp macro="" textlink="">
      <xdr:nvSpPr>
        <xdr:cNvPr id="23" name="TextBox 6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257800" y="2188080"/>
          <a:ext cx="936360" cy="225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13</xdr:row>
      <xdr:rowOff>113040</xdr:rowOff>
    </xdr:from>
    <xdr:to>
      <xdr:col>0</xdr:col>
      <xdr:colOff>6201720</xdr:colOff>
      <xdr:row>15</xdr:row>
      <xdr:rowOff>6480</xdr:rowOff>
    </xdr:to>
    <xdr:sp macro="" textlink="">
      <xdr:nvSpPr>
        <xdr:cNvPr id="24" name="TextBox 6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257800" y="258012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4480560</xdr:colOff>
      <xdr:row>9</xdr:row>
      <xdr:rowOff>135000</xdr:rowOff>
    </xdr:from>
    <xdr:to>
      <xdr:col>0</xdr:col>
      <xdr:colOff>5172840</xdr:colOff>
      <xdr:row>12</xdr:row>
      <xdr:rowOff>179280</xdr:rowOff>
    </xdr:to>
    <xdr:sp macro="" textlink="">
      <xdr:nvSpPr>
        <xdr:cNvPr id="25" name="Elbow Connector 7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flipV="1">
          <a:off x="4480560" y="1877760"/>
          <a:ext cx="692280" cy="5871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11</xdr:row>
      <xdr:rowOff>173160</xdr:rowOff>
    </xdr:from>
    <xdr:to>
      <xdr:col>0</xdr:col>
      <xdr:colOff>5157720</xdr:colOff>
      <xdr:row>13</xdr:row>
      <xdr:rowOff>6120</xdr:rowOff>
    </xdr:to>
    <xdr:sp macro="" textlink="">
      <xdr:nvSpPr>
        <xdr:cNvPr id="26" name="Elbow Connector 7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4495680" y="2278080"/>
          <a:ext cx="662040" cy="1951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5303520</xdr:colOff>
      <xdr:row>15</xdr:row>
      <xdr:rowOff>68760</xdr:rowOff>
    </xdr:from>
    <xdr:to>
      <xdr:col>0</xdr:col>
      <xdr:colOff>6277680</xdr:colOff>
      <xdr:row>16</xdr:row>
      <xdr:rowOff>165600</xdr:rowOff>
    </xdr:to>
    <xdr:sp macro="" textlink="">
      <xdr:nvSpPr>
        <xdr:cNvPr id="27" name="TextBox 14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303520" y="289764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17</xdr:row>
      <xdr:rowOff>151200</xdr:rowOff>
    </xdr:from>
    <xdr:to>
      <xdr:col>0</xdr:col>
      <xdr:colOff>6239880</xdr:colOff>
      <xdr:row>19</xdr:row>
      <xdr:rowOff>14400</xdr:rowOff>
    </xdr:to>
    <xdr:sp macro="" textlink="">
      <xdr:nvSpPr>
        <xdr:cNvPr id="28" name="TextBox 14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303520" y="3342240"/>
          <a:ext cx="936360" cy="225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20</xdr:row>
      <xdr:rowOff>720</xdr:rowOff>
    </xdr:from>
    <xdr:to>
      <xdr:col>0</xdr:col>
      <xdr:colOff>6247440</xdr:colOff>
      <xdr:row>21</xdr:row>
      <xdr:rowOff>75240</xdr:rowOff>
    </xdr:to>
    <xdr:sp macro="" textlink="">
      <xdr:nvSpPr>
        <xdr:cNvPr id="29" name="TextBox 14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303520" y="373464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4526280</xdr:colOff>
      <xdr:row>16</xdr:row>
      <xdr:rowOff>22680</xdr:rowOff>
    </xdr:from>
    <xdr:to>
      <xdr:col>0</xdr:col>
      <xdr:colOff>5218560</xdr:colOff>
      <xdr:row>16</xdr:row>
      <xdr:rowOff>104400</xdr:rowOff>
    </xdr:to>
    <xdr:sp macro="" textlink="">
      <xdr:nvSpPr>
        <xdr:cNvPr id="30" name="Elbow Connector 14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flipV="1">
          <a:off x="4526280" y="3032280"/>
          <a:ext cx="692280" cy="81720"/>
        </a:xfrm>
        <a:prstGeom prst="bentConnector3">
          <a:avLst>
            <a:gd name="adj1" fmla="val 43407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4488120</xdr:colOff>
      <xdr:row>16</xdr:row>
      <xdr:rowOff>106200</xdr:rowOff>
    </xdr:from>
    <xdr:to>
      <xdr:col>0</xdr:col>
      <xdr:colOff>5203440</xdr:colOff>
      <xdr:row>18</xdr:row>
      <xdr:rowOff>60120</xdr:rowOff>
    </xdr:to>
    <xdr:sp macro="" textlink="">
      <xdr:nvSpPr>
        <xdr:cNvPr id="31" name="Elbow Connector 15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488120" y="3116160"/>
          <a:ext cx="715320" cy="315720"/>
        </a:xfrm>
        <a:prstGeom prst="bentConnector3">
          <a:avLst>
            <a:gd name="adj1" fmla="val 46809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4480560</xdr:colOff>
      <xdr:row>16</xdr:row>
      <xdr:rowOff>98640</xdr:rowOff>
    </xdr:from>
    <xdr:to>
      <xdr:col>0</xdr:col>
      <xdr:colOff>5234040</xdr:colOff>
      <xdr:row>20</xdr:row>
      <xdr:rowOff>112680</xdr:rowOff>
    </xdr:to>
    <xdr:sp macro="" textlink="">
      <xdr:nvSpPr>
        <xdr:cNvPr id="32" name="Elbow Connector 16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480560" y="3108600"/>
          <a:ext cx="753480" cy="738000"/>
        </a:xfrm>
        <a:prstGeom prst="bentConnector3">
          <a:avLst>
            <a:gd name="adj1" fmla="val 44949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5463720</xdr:colOff>
      <xdr:row>21</xdr:row>
      <xdr:rowOff>122040</xdr:rowOff>
    </xdr:from>
    <xdr:to>
      <xdr:col>0</xdr:col>
      <xdr:colOff>6437880</xdr:colOff>
      <xdr:row>23</xdr:row>
      <xdr:rowOff>37800</xdr:rowOff>
    </xdr:to>
    <xdr:sp macro="" textlink="">
      <xdr:nvSpPr>
        <xdr:cNvPr id="33" name="TextBox 16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463720" y="403668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24</xdr:row>
      <xdr:rowOff>23760</xdr:rowOff>
    </xdr:from>
    <xdr:to>
      <xdr:col>0</xdr:col>
      <xdr:colOff>6400080</xdr:colOff>
      <xdr:row>25</xdr:row>
      <xdr:rowOff>68400</xdr:rowOff>
    </xdr:to>
    <xdr:sp macro="" textlink="">
      <xdr:nvSpPr>
        <xdr:cNvPr id="34" name="TextBox 16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463720" y="4481640"/>
          <a:ext cx="93636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26</xdr:row>
      <xdr:rowOff>54000</xdr:rowOff>
    </xdr:from>
    <xdr:to>
      <xdr:col>0</xdr:col>
      <xdr:colOff>6407640</xdr:colOff>
      <xdr:row>27</xdr:row>
      <xdr:rowOff>128160</xdr:rowOff>
    </xdr:to>
    <xdr:sp macro="" textlink="">
      <xdr:nvSpPr>
        <xdr:cNvPr id="35" name="TextBox 16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463720" y="487368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22</xdr:row>
      <xdr:rowOff>46080</xdr:rowOff>
    </xdr:from>
    <xdr:to>
      <xdr:col>0</xdr:col>
      <xdr:colOff>5363640</xdr:colOff>
      <xdr:row>22</xdr:row>
      <xdr:rowOff>135360</xdr:rowOff>
    </xdr:to>
    <xdr:sp macro="" textlink="">
      <xdr:nvSpPr>
        <xdr:cNvPr id="36" name="Elbow Connector 17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flipV="1">
          <a:off x="4511160" y="4141800"/>
          <a:ext cx="852480" cy="89280"/>
        </a:xfrm>
        <a:prstGeom prst="bentConnector3">
          <a:avLst>
            <a:gd name="adj1" fmla="val 45536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5378400</xdr:colOff>
      <xdr:row>24</xdr:row>
      <xdr:rowOff>135720</xdr:rowOff>
    </xdr:to>
    <xdr:sp macro="" textlink="">
      <xdr:nvSpPr>
        <xdr:cNvPr id="37" name="Elbow Connector 17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495680" y="4232520"/>
          <a:ext cx="882720" cy="361080"/>
        </a:xfrm>
        <a:prstGeom prst="bentConnector3">
          <a:avLst>
            <a:gd name="adj1" fmla="val 4569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5447160</xdr:colOff>
      <xdr:row>27</xdr:row>
      <xdr:rowOff>30240</xdr:rowOff>
    </xdr:to>
    <xdr:sp macro="" textlink="">
      <xdr:nvSpPr>
        <xdr:cNvPr id="38" name="Elbow Connector 17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495680" y="4232520"/>
          <a:ext cx="951480" cy="798480"/>
        </a:xfrm>
        <a:prstGeom prst="bentConnector3">
          <a:avLst>
            <a:gd name="adj1" fmla="val 428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6263640</xdr:colOff>
      <xdr:row>28</xdr:row>
      <xdr:rowOff>167760</xdr:rowOff>
    </xdr:from>
    <xdr:to>
      <xdr:col>0</xdr:col>
      <xdr:colOff>7237800</xdr:colOff>
      <xdr:row>30</xdr:row>
      <xdr:rowOff>83520</xdr:rowOff>
    </xdr:to>
    <xdr:sp macro="" textlink="">
      <xdr:nvSpPr>
        <xdr:cNvPr id="39" name="TextBox 19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263640" y="5349240"/>
          <a:ext cx="9741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31</xdr:row>
      <xdr:rowOff>69840</xdr:rowOff>
    </xdr:from>
    <xdr:to>
      <xdr:col>0</xdr:col>
      <xdr:colOff>7200000</xdr:colOff>
      <xdr:row>32</xdr:row>
      <xdr:rowOff>114120</xdr:rowOff>
    </xdr:to>
    <xdr:sp macro="" textlink="">
      <xdr:nvSpPr>
        <xdr:cNvPr id="40" name="TextBox 19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263640" y="5794200"/>
          <a:ext cx="936360" cy="225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33</xdr:row>
      <xdr:rowOff>99720</xdr:rowOff>
    </xdr:from>
    <xdr:to>
      <xdr:col>0</xdr:col>
      <xdr:colOff>7207560</xdr:colOff>
      <xdr:row>34</xdr:row>
      <xdr:rowOff>173880</xdr:rowOff>
    </xdr:to>
    <xdr:sp macro="" textlink="">
      <xdr:nvSpPr>
        <xdr:cNvPr id="41" name="TextBox 19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263640" y="6186240"/>
          <a:ext cx="94392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27</xdr:row>
      <xdr:rowOff>129600</xdr:rowOff>
    </xdr:from>
    <xdr:to>
      <xdr:col>0</xdr:col>
      <xdr:colOff>6262560</xdr:colOff>
      <xdr:row>29</xdr:row>
      <xdr:rowOff>124920</xdr:rowOff>
    </xdr:to>
    <xdr:sp macro="" textlink="">
      <xdr:nvSpPr>
        <xdr:cNvPr id="42" name="Elbow Connector 19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511160" y="5130360"/>
          <a:ext cx="1751400" cy="3571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4511160</xdr:colOff>
      <xdr:row>27</xdr:row>
      <xdr:rowOff>137160</xdr:rowOff>
    </xdr:from>
    <xdr:to>
      <xdr:col>0</xdr:col>
      <xdr:colOff>6262560</xdr:colOff>
      <xdr:row>32</xdr:row>
      <xdr:rowOff>720</xdr:rowOff>
    </xdr:to>
    <xdr:sp macro="" textlink="">
      <xdr:nvSpPr>
        <xdr:cNvPr id="43" name="Elbow Connector 19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511160" y="5137920"/>
          <a:ext cx="1751400" cy="7682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4533840</xdr:colOff>
      <xdr:row>27</xdr:row>
      <xdr:rowOff>144720</xdr:rowOff>
    </xdr:from>
    <xdr:to>
      <xdr:col>0</xdr:col>
      <xdr:colOff>6262560</xdr:colOff>
      <xdr:row>34</xdr:row>
      <xdr:rowOff>46080</xdr:rowOff>
    </xdr:to>
    <xdr:sp macro="" textlink="">
      <xdr:nvSpPr>
        <xdr:cNvPr id="44" name="Elbow Connector 19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533840" y="5145480"/>
          <a:ext cx="1728720" cy="11682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4217760</xdr:colOff>
      <xdr:row>36</xdr:row>
      <xdr:rowOff>132120</xdr:rowOff>
    </xdr:from>
    <xdr:to>
      <xdr:col>0</xdr:col>
      <xdr:colOff>4898520</xdr:colOff>
      <xdr:row>38</xdr:row>
      <xdr:rowOff>48240</xdr:rowOff>
    </xdr:to>
    <xdr:sp macro="" textlink="">
      <xdr:nvSpPr>
        <xdr:cNvPr id="45" name="TextBox 20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217760" y="6761520"/>
          <a:ext cx="680760" cy="2779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Footwear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3440520</xdr:colOff>
      <xdr:row>36</xdr:row>
      <xdr:rowOff>154800</xdr:rowOff>
    </xdr:from>
    <xdr:to>
      <xdr:col>0</xdr:col>
      <xdr:colOff>4106160</xdr:colOff>
      <xdr:row>38</xdr:row>
      <xdr:rowOff>6840</xdr:rowOff>
    </xdr:to>
    <xdr:sp macro="" textlink="">
      <xdr:nvSpPr>
        <xdr:cNvPr id="46" name="TextBox 20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40520" y="6784200"/>
          <a:ext cx="665640" cy="2138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Apparel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2461320</xdr:colOff>
      <xdr:row>36</xdr:row>
      <xdr:rowOff>158760</xdr:rowOff>
    </xdr:from>
    <xdr:to>
      <xdr:col>0</xdr:col>
      <xdr:colOff>3237480</xdr:colOff>
      <xdr:row>38</xdr:row>
      <xdr:rowOff>52200</xdr:rowOff>
    </xdr:to>
    <xdr:sp macro="" textlink="">
      <xdr:nvSpPr>
        <xdr:cNvPr id="47" name="TextBox 20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461320" y="6788160"/>
          <a:ext cx="776160" cy="2552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Equipment</a:t>
          </a:r>
          <a:endParaRPr lang="en-GB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4000680</xdr:colOff>
      <xdr:row>32</xdr:row>
      <xdr:rowOff>7560</xdr:rowOff>
    </xdr:from>
    <xdr:to>
      <xdr:col>0</xdr:col>
      <xdr:colOff>4403520</xdr:colOff>
      <xdr:row>36</xdr:row>
      <xdr:rowOff>119880</xdr:rowOff>
    </xdr:to>
    <xdr:sp macro="" textlink="">
      <xdr:nvSpPr>
        <xdr:cNvPr id="48" name="Elbow Connector 21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rot="16200000" flipH="1">
          <a:off x="3783600" y="6129720"/>
          <a:ext cx="836280" cy="4028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3818880</xdr:colOff>
      <xdr:row>32</xdr:row>
      <xdr:rowOff>15120</xdr:rowOff>
    </xdr:from>
    <xdr:to>
      <xdr:col>0</xdr:col>
      <xdr:colOff>4008240</xdr:colOff>
      <xdr:row>36</xdr:row>
      <xdr:rowOff>97200</xdr:rowOff>
    </xdr:to>
    <xdr:sp macro="" textlink="">
      <xdr:nvSpPr>
        <xdr:cNvPr id="49" name="Elbow Connector 21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rot="5400000">
          <a:off x="3510360" y="6228720"/>
          <a:ext cx="806040" cy="1893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3193920</xdr:colOff>
      <xdr:row>32</xdr:row>
      <xdr:rowOff>15120</xdr:rowOff>
    </xdr:from>
    <xdr:to>
      <xdr:col>0</xdr:col>
      <xdr:colOff>4008240</xdr:colOff>
      <xdr:row>36</xdr:row>
      <xdr:rowOff>104760</xdr:rowOff>
    </xdr:to>
    <xdr:sp macro="" textlink="">
      <xdr:nvSpPr>
        <xdr:cNvPr id="50" name="Elbow Connector 20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5400000">
          <a:off x="3194280" y="5920200"/>
          <a:ext cx="813600" cy="8143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os/Downloads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95" zoomScaleNormal="95" workbookViewId="0">
      <selection activeCell="A4" activeCellId="1" sqref="P5:P11 A4"/>
    </sheetView>
  </sheetViews>
  <sheetFormatPr defaultColWidth="8.664062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4" t="s">
        <v>2</v>
      </c>
    </row>
    <row r="4" spans="1:1" x14ac:dyDescent="0.3">
      <c r="A4" s="4" t="s">
        <v>3</v>
      </c>
    </row>
    <row r="5" spans="1:1" x14ac:dyDescent="0.3">
      <c r="A5" s="3" t="s">
        <v>4</v>
      </c>
    </row>
    <row r="6" spans="1:1" x14ac:dyDescent="0.3">
      <c r="A6" s="1" t="s">
        <v>5</v>
      </c>
    </row>
    <row r="7" spans="1:1" x14ac:dyDescent="0.3">
      <c r="A7" s="3"/>
    </row>
    <row r="8" spans="1:1" x14ac:dyDescent="0.3">
      <c r="A8" s="3"/>
    </row>
    <row r="11" spans="1:1" x14ac:dyDescent="0.3">
      <c r="A11" s="4"/>
    </row>
    <row r="12" spans="1:1" x14ac:dyDescent="0.3">
      <c r="A12" s="4"/>
    </row>
    <row r="13" spans="1:1" x14ac:dyDescent="0.3">
      <c r="A13" s="4"/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3"/>
  <sheetViews>
    <sheetView zoomScale="95" zoomScaleNormal="95" workbookViewId="0">
      <pane ySplit="1" topLeftCell="A2" activePane="bottomLeft" state="frozen"/>
      <selection pane="bottomLeft" activeCell="H50" activeCellId="1" sqref="P5:P11 H50"/>
    </sheetView>
  </sheetViews>
  <sheetFormatPr defaultColWidth="8.664062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9" ht="60" customHeight="1" x14ac:dyDescent="0.3">
      <c r="A1" s="5" t="s">
        <v>6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3">
      <c r="A2" t="s">
        <v>7</v>
      </c>
      <c r="B2" s="7">
        <v>30601</v>
      </c>
      <c r="C2" s="7">
        <v>32376</v>
      </c>
      <c r="D2" s="7">
        <v>34350</v>
      </c>
      <c r="E2" s="7">
        <f>36397</f>
        <v>36397</v>
      </c>
      <c r="F2" s="7">
        <v>39117</v>
      </c>
      <c r="G2" s="7">
        <f>37403</f>
        <v>37403</v>
      </c>
      <c r="H2" s="7">
        <v>44538</v>
      </c>
      <c r="I2" s="7">
        <v>46710</v>
      </c>
    </row>
    <row r="3" spans="1:9" x14ac:dyDescent="0.3">
      <c r="A3" s="8" t="s">
        <v>8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3">
      <c r="A4" s="10" t="s">
        <v>9</v>
      </c>
      <c r="B4" s="11">
        <f t="shared" ref="B4:I4" si="1">+B2-B3</f>
        <v>14067</v>
      </c>
      <c r="C4" s="11">
        <f t="shared" si="1"/>
        <v>14971</v>
      </c>
      <c r="D4" s="11">
        <f t="shared" si="1"/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3">
      <c r="A5" s="12" t="s">
        <v>10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3">
      <c r="A6" s="12" t="s">
        <v>11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3">
      <c r="A7" s="13" t="s">
        <v>12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3">
      <c r="A8" s="15" t="s">
        <v>13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3">
      <c r="A9" s="15" t="s">
        <v>14</v>
      </c>
      <c r="B9" s="7">
        <v>-58</v>
      </c>
      <c r="C9" s="7">
        <v>-140</v>
      </c>
      <c r="D9" s="7">
        <v>-196</v>
      </c>
      <c r="E9" s="7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3">
      <c r="A10" s="16" t="s">
        <v>15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3">
      <c r="A11" s="15" t="s">
        <v>16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3">
      <c r="A12" s="18" t="s">
        <v>17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3">
      <c r="A13" s="10" t="s">
        <v>18</v>
      </c>
    </row>
    <row r="14" spans="1:9" x14ac:dyDescent="0.3">
      <c r="A14" s="15" t="s">
        <v>19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15" t="s">
        <v>20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0" t="s">
        <v>21</v>
      </c>
    </row>
    <row r="17" spans="1:9" x14ac:dyDescent="0.3">
      <c r="A17" s="15" t="s">
        <v>19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20">
        <v>1558.8</v>
      </c>
      <c r="H17" s="20">
        <v>1573</v>
      </c>
      <c r="I17" s="20">
        <v>1578.8</v>
      </c>
    </row>
    <row r="18" spans="1:9" x14ac:dyDescent="0.3">
      <c r="A18" s="15" t="s">
        <v>20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3">
      <c r="A20" s="21" t="s">
        <v>22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3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3">
      <c r="A23" s="10" t="s">
        <v>24</v>
      </c>
    </row>
    <row r="24" spans="1:9" x14ac:dyDescent="0.3">
      <c r="A24" s="24" t="s">
        <v>25</v>
      </c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7">
        <v>2749</v>
      </c>
      <c r="H27" s="7">
        <v>4463</v>
      </c>
      <c r="I27" s="7">
        <v>4667</v>
      </c>
    </row>
    <row r="28" spans="1:9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3">
      <c r="A32" s="15" t="s">
        <v>33</v>
      </c>
      <c r="B32" s="7">
        <v>3</v>
      </c>
      <c r="C32" s="7">
        <v>0</v>
      </c>
      <c r="D32" s="7">
        <v>0</v>
      </c>
      <c r="E32" s="7">
        <v>0</v>
      </c>
      <c r="F32" s="7">
        <v>0</v>
      </c>
      <c r="G32" s="7">
        <v>3097</v>
      </c>
      <c r="H32" s="7">
        <v>3113</v>
      </c>
      <c r="I32" s="7">
        <v>2926</v>
      </c>
    </row>
    <row r="33" spans="1:9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3">
      <c r="A35" s="15" t="s">
        <v>36</v>
      </c>
      <c r="B35" s="7">
        <v>2587</v>
      </c>
      <c r="C35" s="7">
        <v>2439</v>
      </c>
      <c r="D35" s="7">
        <v>2787</v>
      </c>
      <c r="E35" s="7">
        <v>2509</v>
      </c>
      <c r="F35" s="7">
        <v>2011</v>
      </c>
      <c r="G35" s="7">
        <v>2326</v>
      </c>
      <c r="H35" s="7">
        <v>2921</v>
      </c>
      <c r="I35" s="7">
        <v>3821</v>
      </c>
    </row>
    <row r="36" spans="1:9" x14ac:dyDescent="0.3">
      <c r="A36" s="18" t="s">
        <v>37</v>
      </c>
      <c r="B36" s="19">
        <f t="shared" ref="B36:I36" si="7">+SUM(B30:B35)</f>
        <v>21600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3">
      <c r="A42" s="12" t="s">
        <v>43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445</v>
      </c>
      <c r="H42" s="7">
        <v>467</v>
      </c>
      <c r="I42" s="7">
        <v>420</v>
      </c>
    </row>
    <row r="43" spans="1:9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3">
      <c r="A47" s="15" t="s">
        <v>48</v>
      </c>
      <c r="B47" s="7">
        <v>3</v>
      </c>
      <c r="C47" s="7">
        <v>0</v>
      </c>
      <c r="D47" s="7">
        <v>0</v>
      </c>
      <c r="E47" s="7">
        <v>0</v>
      </c>
      <c r="F47" s="7">
        <v>0</v>
      </c>
      <c r="G47" s="7">
        <v>2913</v>
      </c>
      <c r="H47" s="7">
        <v>2931</v>
      </c>
      <c r="I47" s="7">
        <v>2777</v>
      </c>
    </row>
    <row r="48" spans="1:9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5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5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5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5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5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21600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4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191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-889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6" t="s">
        <v>77</v>
      </c>
      <c r="B76" s="27">
        <f t="shared" ref="B76:I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3">
      <c r="A81" s="15" t="s">
        <v>82</v>
      </c>
      <c r="B81" s="7">
        <v>-960</v>
      </c>
      <c r="C81" s="7">
        <v>-1133</v>
      </c>
      <c r="D81" s="7">
        <v>-1092</v>
      </c>
      <c r="E81" s="7">
        <v>-1025</v>
      </c>
      <c r="F81" s="7">
        <v>-1119</v>
      </c>
      <c r="G81" s="7">
        <v>-1086</v>
      </c>
      <c r="H81" s="7">
        <v>-695</v>
      </c>
      <c r="I81" s="7">
        <v>-758</v>
      </c>
    </row>
    <row r="82" spans="1:9" x14ac:dyDescent="0.3">
      <c r="A82" s="15" t="s">
        <v>83</v>
      </c>
      <c r="B82" s="7">
        <v>-150</v>
      </c>
      <c r="C82" s="7">
        <v>156</v>
      </c>
      <c r="D82" s="7">
        <v>-34</v>
      </c>
      <c r="E82" s="7">
        <v>-25</v>
      </c>
      <c r="F82" s="7">
        <v>5</v>
      </c>
      <c r="G82" s="7">
        <v>31</v>
      </c>
      <c r="H82" s="7">
        <v>171</v>
      </c>
      <c r="I82" s="7">
        <v>-19</v>
      </c>
    </row>
    <row r="83" spans="1:9" x14ac:dyDescent="0.3">
      <c r="A83" s="28" t="s">
        <v>84</v>
      </c>
      <c r="B83" s="27">
        <f t="shared" ref="B83:I83" si="13">+SUM(B78:B82)</f>
        <v>-175</v>
      </c>
      <c r="C83" s="27">
        <f t="shared" si="13"/>
        <v>-1034</v>
      </c>
      <c r="D83" s="27">
        <f t="shared" si="13"/>
        <v>-1008</v>
      </c>
      <c r="E83" s="27">
        <f t="shared" si="13"/>
        <v>276</v>
      </c>
      <c r="F83" s="27">
        <f t="shared" si="13"/>
        <v>-264</v>
      </c>
      <c r="G83" s="27">
        <f t="shared" si="13"/>
        <v>-1028</v>
      </c>
      <c r="H83" s="27">
        <f t="shared" si="13"/>
        <v>-3800</v>
      </c>
      <c r="I83" s="27">
        <f t="shared" si="13"/>
        <v>-1524</v>
      </c>
    </row>
    <row r="84" spans="1:9" x14ac:dyDescent="0.3">
      <c r="A84" s="10" t="s">
        <v>85</v>
      </c>
      <c r="B84" s="7"/>
      <c r="C84" s="7"/>
      <c r="D84" s="7"/>
      <c r="E84" s="7"/>
      <c r="F84" s="7"/>
      <c r="G84" s="7"/>
      <c r="H84" s="7"/>
      <c r="I84" s="7"/>
    </row>
    <row r="85" spans="1:9" x14ac:dyDescent="0.3">
      <c r="A85" s="15" t="s">
        <v>86</v>
      </c>
      <c r="B85" s="7">
        <v>0</v>
      </c>
      <c r="C85" s="7">
        <v>981</v>
      </c>
      <c r="D85" s="7">
        <v>1482</v>
      </c>
      <c r="E85" s="7">
        <v>0</v>
      </c>
      <c r="F85" s="7">
        <v>0</v>
      </c>
      <c r="G85" s="7">
        <v>6134</v>
      </c>
      <c r="H85" s="7">
        <v>0</v>
      </c>
      <c r="I85" s="7">
        <v>0</v>
      </c>
    </row>
    <row r="86" spans="1:9" x14ac:dyDescent="0.3">
      <c r="A86" s="15" t="s">
        <v>87</v>
      </c>
      <c r="B86" s="7">
        <v>-63</v>
      </c>
      <c r="C86" s="7">
        <v>-67</v>
      </c>
      <c r="D86" s="7">
        <v>327</v>
      </c>
      <c r="E86" s="7">
        <v>13</v>
      </c>
      <c r="F86" s="7">
        <v>-325</v>
      </c>
      <c r="G86" s="7">
        <v>49</v>
      </c>
      <c r="H86" s="7">
        <v>-52</v>
      </c>
      <c r="I86" s="7">
        <v>15</v>
      </c>
    </row>
    <row r="87" spans="1:9" x14ac:dyDescent="0.3">
      <c r="A87" s="15" t="s">
        <v>88</v>
      </c>
      <c r="B87" s="7">
        <v>-26</v>
      </c>
      <c r="C87" s="7">
        <v>-113</v>
      </c>
      <c r="D87" s="7">
        <v>-61</v>
      </c>
      <c r="E87" s="7">
        <v>0</v>
      </c>
      <c r="F87" s="7">
        <v>0</v>
      </c>
      <c r="G87" s="7">
        <v>0</v>
      </c>
      <c r="H87" s="7">
        <v>-197</v>
      </c>
      <c r="I87" s="7">
        <v>0</v>
      </c>
    </row>
    <row r="88" spans="1:9" x14ac:dyDescent="0.3">
      <c r="A88" s="15" t="s">
        <v>89</v>
      </c>
      <c r="B88" s="7">
        <v>514</v>
      </c>
      <c r="C88" s="7">
        <v>507</v>
      </c>
      <c r="D88" s="7">
        <v>489</v>
      </c>
      <c r="E88" s="7">
        <v>733</v>
      </c>
      <c r="F88" s="7">
        <v>700</v>
      </c>
      <c r="G88" s="7">
        <v>885</v>
      </c>
      <c r="H88" s="7">
        <v>1172</v>
      </c>
      <c r="I88" s="7">
        <v>1151</v>
      </c>
    </row>
    <row r="89" spans="1:9" x14ac:dyDescent="0.3">
      <c r="A89" s="15" t="s">
        <v>90</v>
      </c>
      <c r="B89" s="7">
        <v>-2534</v>
      </c>
      <c r="C89" s="7">
        <v>-3238</v>
      </c>
      <c r="D89" s="7">
        <v>-3223</v>
      </c>
      <c r="E89" s="7">
        <v>-4254</v>
      </c>
      <c r="F89" s="7">
        <v>-4286</v>
      </c>
      <c r="G89" s="7">
        <v>-3067</v>
      </c>
      <c r="H89" s="7">
        <v>-608</v>
      </c>
      <c r="I89" s="7">
        <v>-4014</v>
      </c>
    </row>
    <row r="90" spans="1:9" x14ac:dyDescent="0.3">
      <c r="A90" s="15" t="s">
        <v>91</v>
      </c>
      <c r="B90" s="7">
        <v>-899</v>
      </c>
      <c r="C90" s="7">
        <v>-1022</v>
      </c>
      <c r="D90" s="7">
        <v>-1133</v>
      </c>
      <c r="E90" s="7">
        <v>-1243</v>
      </c>
      <c r="F90" s="7">
        <v>-1332</v>
      </c>
      <c r="G90" s="7">
        <v>-1452</v>
      </c>
      <c r="H90" s="7">
        <v>-1638</v>
      </c>
      <c r="I90" s="7">
        <v>-1837</v>
      </c>
    </row>
    <row r="91" spans="1:9" x14ac:dyDescent="0.3">
      <c r="A91" s="15" t="s">
        <v>92</v>
      </c>
      <c r="B91" s="7">
        <v>218</v>
      </c>
      <c r="C91" s="7">
        <v>-22</v>
      </c>
      <c r="D91" s="7">
        <v>-29</v>
      </c>
      <c r="E91" s="7">
        <v>-84</v>
      </c>
      <c r="F91" s="7">
        <v>-50</v>
      </c>
      <c r="G91" s="7">
        <v>-58</v>
      </c>
      <c r="H91" s="7">
        <v>-136</v>
      </c>
      <c r="I91" s="7">
        <v>-151</v>
      </c>
    </row>
    <row r="92" spans="1:9" x14ac:dyDescent="0.3">
      <c r="A92" s="28" t="s">
        <v>93</v>
      </c>
      <c r="B92" s="27">
        <f t="shared" ref="B92:I92" si="14">+SUM(B85:B91)</f>
        <v>-2790</v>
      </c>
      <c r="C92" s="27">
        <f t="shared" si="14"/>
        <v>-2974</v>
      </c>
      <c r="D92" s="27">
        <f t="shared" si="14"/>
        <v>-2148</v>
      </c>
      <c r="E92" s="27">
        <f t="shared" si="14"/>
        <v>-4835</v>
      </c>
      <c r="F92" s="27">
        <f t="shared" si="14"/>
        <v>-5293</v>
      </c>
      <c r="G92" s="27">
        <f t="shared" si="14"/>
        <v>2491</v>
      </c>
      <c r="H92" s="27">
        <f t="shared" si="14"/>
        <v>-1459</v>
      </c>
      <c r="I92" s="27">
        <f t="shared" si="14"/>
        <v>-4836</v>
      </c>
    </row>
    <row r="93" spans="1:9" x14ac:dyDescent="0.3">
      <c r="A93" s="15" t="s">
        <v>94</v>
      </c>
      <c r="B93" s="7">
        <v>-83</v>
      </c>
      <c r="C93" s="7">
        <v>-105</v>
      </c>
      <c r="D93" s="7">
        <v>-20</v>
      </c>
      <c r="E93" s="7">
        <v>45</v>
      </c>
      <c r="F93" s="7">
        <v>-129</v>
      </c>
      <c r="G93" s="7">
        <v>-66</v>
      </c>
      <c r="H93" s="7">
        <v>143</v>
      </c>
      <c r="I93" s="7">
        <v>-143</v>
      </c>
    </row>
    <row r="94" spans="1:9" x14ac:dyDescent="0.3">
      <c r="A94" s="28" t="s">
        <v>95</v>
      </c>
      <c r="B94" s="27">
        <f t="shared" ref="B94:I94" si="15">+B76+B83+B92+B93</f>
        <v>1632</v>
      </c>
      <c r="C94" s="27">
        <f t="shared" si="15"/>
        <v>-1017</v>
      </c>
      <c r="D94" s="27">
        <f t="shared" si="15"/>
        <v>670</v>
      </c>
      <c r="E94" s="27">
        <f t="shared" si="15"/>
        <v>441</v>
      </c>
      <c r="F94" s="27">
        <f t="shared" si="15"/>
        <v>217</v>
      </c>
      <c r="G94" s="27">
        <f t="shared" si="15"/>
        <v>3882</v>
      </c>
      <c r="H94" s="27">
        <f t="shared" si="15"/>
        <v>1541</v>
      </c>
      <c r="I94" s="27">
        <f t="shared" si="15"/>
        <v>-1315</v>
      </c>
    </row>
    <row r="95" spans="1:9" x14ac:dyDescent="0.3">
      <c r="A95" t="s">
        <v>96</v>
      </c>
      <c r="B95" s="7">
        <v>2220</v>
      </c>
      <c r="C95" s="7">
        <v>3852</v>
      </c>
      <c r="D95" s="7">
        <v>3138</v>
      </c>
      <c r="E95" s="7">
        <v>3808</v>
      </c>
      <c r="F95" s="7">
        <v>4249</v>
      </c>
      <c r="G95" s="7">
        <v>4466</v>
      </c>
      <c r="H95" s="7">
        <v>8348</v>
      </c>
      <c r="I95" s="7">
        <f>+H96</f>
        <v>9889</v>
      </c>
    </row>
    <row r="96" spans="1:9" x14ac:dyDescent="0.3">
      <c r="A96" s="18" t="s">
        <v>97</v>
      </c>
      <c r="B96" s="19">
        <v>3852</v>
      </c>
      <c r="C96" s="19">
        <v>3138</v>
      </c>
      <c r="D96" s="19">
        <v>3808</v>
      </c>
      <c r="E96" s="19">
        <v>4249</v>
      </c>
      <c r="F96" s="19">
        <v>4466</v>
      </c>
      <c r="G96" s="19">
        <v>8348</v>
      </c>
      <c r="H96" s="19">
        <f>+H94+H95</f>
        <v>9889</v>
      </c>
      <c r="I96" s="19">
        <f>+I94+I95</f>
        <v>8574</v>
      </c>
    </row>
    <row r="97" spans="1:9" s="21" customFormat="1" x14ac:dyDescent="0.3">
      <c r="A97" s="21" t="s">
        <v>98</v>
      </c>
      <c r="B97" s="22">
        <f t="shared" ref="B97:I97" si="16">+B96-B25</f>
        <v>0</v>
      </c>
      <c r="C97" s="22">
        <f t="shared" si="16"/>
        <v>0</v>
      </c>
      <c r="D97" s="22">
        <f t="shared" si="16"/>
        <v>0</v>
      </c>
      <c r="E97" s="22">
        <f t="shared" si="16"/>
        <v>0</v>
      </c>
      <c r="F97" s="22">
        <f t="shared" si="16"/>
        <v>0</v>
      </c>
      <c r="G97" s="22">
        <f t="shared" si="16"/>
        <v>0</v>
      </c>
      <c r="H97" s="22">
        <f t="shared" si="16"/>
        <v>0</v>
      </c>
      <c r="I97" s="22">
        <f t="shared" si="16"/>
        <v>0</v>
      </c>
    </row>
    <row r="98" spans="1:9" x14ac:dyDescent="0.3">
      <c r="A98" t="s">
        <v>99</v>
      </c>
      <c r="B98" s="7"/>
      <c r="C98" s="7"/>
      <c r="D98" s="7"/>
      <c r="E98" s="7"/>
      <c r="F98" s="7"/>
      <c r="G98" s="7"/>
      <c r="H98" s="7"/>
      <c r="I98" s="7"/>
    </row>
    <row r="99" spans="1:9" x14ac:dyDescent="0.3">
      <c r="A99" s="15" t="s">
        <v>100</v>
      </c>
      <c r="B99" s="7"/>
      <c r="C99" s="7"/>
      <c r="D99" s="7"/>
      <c r="E99" s="7"/>
      <c r="F99" s="7"/>
      <c r="G99" s="7"/>
      <c r="H99" s="7"/>
      <c r="I99" s="7"/>
    </row>
    <row r="100" spans="1:9" x14ac:dyDescent="0.3">
      <c r="A100" s="12" t="s">
        <v>101</v>
      </c>
      <c r="B100" s="7">
        <v>53</v>
      </c>
      <c r="C100" s="7">
        <v>70</v>
      </c>
      <c r="D100" s="7">
        <v>98</v>
      </c>
      <c r="E100" s="7">
        <v>125</v>
      </c>
      <c r="F100" s="7">
        <v>153</v>
      </c>
      <c r="G100" s="7">
        <v>140</v>
      </c>
      <c r="H100" s="7">
        <v>293</v>
      </c>
      <c r="I100" s="7">
        <v>290</v>
      </c>
    </row>
    <row r="101" spans="1:9" x14ac:dyDescent="0.3">
      <c r="A101" s="12" t="s">
        <v>102</v>
      </c>
      <c r="B101" s="7">
        <v>1262</v>
      </c>
      <c r="C101" s="7">
        <v>748</v>
      </c>
      <c r="D101" s="7">
        <v>703</v>
      </c>
      <c r="E101" s="7">
        <v>529</v>
      </c>
      <c r="F101" s="7">
        <v>757</v>
      </c>
      <c r="G101" s="7">
        <v>1028</v>
      </c>
      <c r="H101" s="7">
        <v>1177</v>
      </c>
      <c r="I101" s="7">
        <v>1231</v>
      </c>
    </row>
    <row r="102" spans="1:9" x14ac:dyDescent="0.3">
      <c r="A102" s="12" t="s">
        <v>103</v>
      </c>
      <c r="B102" s="7">
        <v>206</v>
      </c>
      <c r="C102" s="7">
        <v>252</v>
      </c>
      <c r="D102" s="7">
        <v>266</v>
      </c>
      <c r="E102" s="7">
        <v>294</v>
      </c>
      <c r="F102" s="7">
        <v>160</v>
      </c>
      <c r="G102" s="7">
        <v>121</v>
      </c>
      <c r="H102" s="7">
        <v>179</v>
      </c>
      <c r="I102" s="7">
        <v>160</v>
      </c>
    </row>
    <row r="103" spans="1:9" x14ac:dyDescent="0.3">
      <c r="A103" s="12" t="s">
        <v>104</v>
      </c>
      <c r="B103" s="7">
        <v>240</v>
      </c>
      <c r="C103" s="7">
        <v>271</v>
      </c>
      <c r="D103" s="7">
        <v>300</v>
      </c>
      <c r="E103" s="7">
        <v>320</v>
      </c>
      <c r="F103" s="7">
        <v>347</v>
      </c>
      <c r="G103" s="7">
        <v>385</v>
      </c>
      <c r="H103" s="7">
        <v>438</v>
      </c>
      <c r="I103" s="7">
        <v>480</v>
      </c>
    </row>
    <row r="105" spans="1:9" x14ac:dyDescent="0.3">
      <c r="A105" s="23" t="s">
        <v>105</v>
      </c>
      <c r="B105" s="23"/>
      <c r="C105" s="23"/>
      <c r="D105" s="23"/>
      <c r="E105" s="23"/>
      <c r="F105" s="23"/>
      <c r="G105" s="23"/>
      <c r="H105" s="23"/>
      <c r="I105" s="23"/>
    </row>
    <row r="106" spans="1:9" x14ac:dyDescent="0.3">
      <c r="A106" s="29" t="s">
        <v>106</v>
      </c>
      <c r="B106" s="7"/>
      <c r="C106" s="7"/>
      <c r="D106" s="7"/>
      <c r="E106" s="7"/>
      <c r="F106" s="7"/>
      <c r="G106" s="7"/>
      <c r="H106" s="7"/>
      <c r="I106" s="7"/>
    </row>
    <row r="107" spans="1:9" x14ac:dyDescent="0.3">
      <c r="A107" s="15" t="s">
        <v>107</v>
      </c>
      <c r="B107" s="7">
        <v>13740</v>
      </c>
      <c r="C107" s="7">
        <v>14764</v>
      </c>
      <c r="D107" s="7">
        <v>15216</v>
      </c>
      <c r="E107" s="7">
        <v>14855</v>
      </c>
      <c r="F107" s="7">
        <v>15902</v>
      </c>
      <c r="G107" s="7">
        <v>14484</v>
      </c>
      <c r="H107" s="7">
        <f>+SUM(H108:H110)</f>
        <v>17179</v>
      </c>
      <c r="I107" s="7">
        <f>+SUM(I108:I110)</f>
        <v>18353</v>
      </c>
    </row>
    <row r="108" spans="1:9" x14ac:dyDescent="0.3">
      <c r="A108" s="12" t="s">
        <v>108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20">
        <v>11644</v>
      </c>
      <c r="I108" s="20">
        <v>12228</v>
      </c>
    </row>
    <row r="109" spans="1:9" x14ac:dyDescent="0.3">
      <c r="A109" s="12" t="s">
        <v>109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20">
        <v>5028</v>
      </c>
      <c r="I109" s="20">
        <v>5492</v>
      </c>
    </row>
    <row r="110" spans="1:9" x14ac:dyDescent="0.3">
      <c r="A110" s="12" t="s">
        <v>110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5" t="s">
        <v>111</v>
      </c>
      <c r="B111" s="7">
        <f t="shared" ref="B111:I111" si="17">+SUM(B112:B114)</f>
        <v>7126</v>
      </c>
      <c r="C111" s="7">
        <f t="shared" si="17"/>
        <v>7568</v>
      </c>
      <c r="D111" s="7">
        <f t="shared" si="17"/>
        <v>7970</v>
      </c>
      <c r="E111" s="7">
        <f t="shared" si="17"/>
        <v>9242</v>
      </c>
      <c r="F111" s="7">
        <f t="shared" si="17"/>
        <v>9812</v>
      </c>
      <c r="G111" s="7">
        <f t="shared" si="17"/>
        <v>9347</v>
      </c>
      <c r="H111" s="7">
        <f t="shared" si="17"/>
        <v>11456</v>
      </c>
      <c r="I111" s="7">
        <f t="shared" si="17"/>
        <v>12479</v>
      </c>
    </row>
    <row r="112" spans="1:9" x14ac:dyDescent="0.3">
      <c r="A112" s="12" t="s">
        <v>108</v>
      </c>
      <c r="B112">
        <f>3876+827</f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20">
        <v>6970</v>
      </c>
      <c r="I112" s="20">
        <v>7388</v>
      </c>
    </row>
    <row r="113" spans="1:9" x14ac:dyDescent="0.3">
      <c r="A113" s="12" t="s">
        <v>109</v>
      </c>
      <c r="B113">
        <f>1552+499</f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20">
        <v>3996</v>
      </c>
      <c r="I113" s="20">
        <v>4527</v>
      </c>
    </row>
    <row r="114" spans="1:9" x14ac:dyDescent="0.3">
      <c r="A114" s="12" t="s">
        <v>110</v>
      </c>
      <c r="B114">
        <f>277+95</f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5" t="s">
        <v>112</v>
      </c>
      <c r="B115" s="7">
        <v>3067</v>
      </c>
      <c r="C115" s="7">
        <v>3785</v>
      </c>
      <c r="D115" s="7">
        <v>4237</v>
      </c>
      <c r="E115" s="7">
        <v>5134</v>
      </c>
      <c r="F115" s="7">
        <v>6208</v>
      </c>
      <c r="G115" s="7">
        <v>6679</v>
      </c>
      <c r="H115" s="7">
        <f>+SUM(H116:H118)</f>
        <v>8290</v>
      </c>
      <c r="I115" s="7">
        <f>+SUM(I116:I118)</f>
        <v>7547</v>
      </c>
    </row>
    <row r="116" spans="1:9" x14ac:dyDescent="0.3">
      <c r="A116" s="12" t="s">
        <v>108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20">
        <v>5748</v>
      </c>
      <c r="I116" s="20">
        <v>5416</v>
      </c>
    </row>
    <row r="117" spans="1:9" x14ac:dyDescent="0.3">
      <c r="A117" s="12" t="s">
        <v>109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20">
        <v>2347</v>
      </c>
      <c r="I117" s="20">
        <v>1938</v>
      </c>
    </row>
    <row r="118" spans="1:9" x14ac:dyDescent="0.3">
      <c r="A118" s="12" t="s">
        <v>110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5" t="s">
        <v>113</v>
      </c>
      <c r="B119" s="7">
        <f t="shared" ref="B119:I119" si="18">+SUM(B120:B122)</f>
        <v>4653</v>
      </c>
      <c r="C119" s="7">
        <f t="shared" si="18"/>
        <v>4317</v>
      </c>
      <c r="D119" s="7">
        <f t="shared" si="18"/>
        <v>4737</v>
      </c>
      <c r="E119" s="7">
        <f t="shared" si="18"/>
        <v>5166</v>
      </c>
      <c r="F119" s="7">
        <f t="shared" si="18"/>
        <v>5254</v>
      </c>
      <c r="G119" s="7">
        <f t="shared" si="18"/>
        <v>5028</v>
      </c>
      <c r="H119" s="7">
        <f t="shared" si="18"/>
        <v>5343</v>
      </c>
      <c r="I119" s="7">
        <f t="shared" si="18"/>
        <v>5955</v>
      </c>
    </row>
    <row r="120" spans="1:9" x14ac:dyDescent="0.3">
      <c r="A120" s="12" t="s">
        <v>108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20">
        <v>3659</v>
      </c>
      <c r="I120" s="20">
        <v>4111</v>
      </c>
    </row>
    <row r="121" spans="1:9" x14ac:dyDescent="0.3">
      <c r="A121" s="12" t="s">
        <v>109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20">
        <v>1494</v>
      </c>
      <c r="I121" s="20">
        <v>1610</v>
      </c>
    </row>
    <row r="122" spans="1:9" x14ac:dyDescent="0.3">
      <c r="A122" s="12" t="s">
        <v>110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5" t="s">
        <v>114</v>
      </c>
      <c r="B123" s="7">
        <v>115</v>
      </c>
      <c r="C123" s="7">
        <v>73</v>
      </c>
      <c r="D123" s="7">
        <v>73</v>
      </c>
      <c r="E123" s="7">
        <v>88</v>
      </c>
      <c r="F123" s="7">
        <v>42</v>
      </c>
      <c r="G123" s="7">
        <v>30</v>
      </c>
      <c r="H123" s="7">
        <v>25</v>
      </c>
      <c r="I123" s="7">
        <v>102</v>
      </c>
    </row>
    <row r="124" spans="1:9" x14ac:dyDescent="0.3">
      <c r="A124" s="16" t="s">
        <v>115</v>
      </c>
      <c r="B124" s="17">
        <f t="shared" ref="B124:I124" si="19">+B107+B111+B115+B119+B123</f>
        <v>28701</v>
      </c>
      <c r="C124" s="17">
        <f t="shared" si="19"/>
        <v>30507</v>
      </c>
      <c r="D124" s="17">
        <f t="shared" si="19"/>
        <v>32233</v>
      </c>
      <c r="E124" s="17">
        <f t="shared" si="19"/>
        <v>34485</v>
      </c>
      <c r="F124" s="17">
        <f t="shared" si="19"/>
        <v>37218</v>
      </c>
      <c r="G124" s="17">
        <f t="shared" si="19"/>
        <v>35568</v>
      </c>
      <c r="H124" s="17">
        <f t="shared" si="19"/>
        <v>42293</v>
      </c>
      <c r="I124" s="17">
        <f t="shared" si="19"/>
        <v>44436</v>
      </c>
    </row>
    <row r="125" spans="1:9" x14ac:dyDescent="0.3">
      <c r="A125" s="15" t="s">
        <v>116</v>
      </c>
      <c r="B125" s="7">
        <v>1982</v>
      </c>
      <c r="C125" s="7">
        <v>1955</v>
      </c>
      <c r="D125" s="7">
        <v>2042</v>
      </c>
      <c r="E125" s="7">
        <v>1886</v>
      </c>
      <c r="F125" s="7">
        <v>1906</v>
      </c>
      <c r="G125" s="7">
        <v>1846</v>
      </c>
      <c r="H125" s="7">
        <f>+SUM(H126:H129)</f>
        <v>2205</v>
      </c>
      <c r="I125" s="7">
        <f>+SUM(I126:I129)</f>
        <v>2346</v>
      </c>
    </row>
    <row r="126" spans="1:9" x14ac:dyDescent="0.3">
      <c r="A126" s="12" t="s">
        <v>108</v>
      </c>
      <c r="B126" s="7">
        <v>18318</v>
      </c>
      <c r="C126" s="7">
        <v>19871</v>
      </c>
      <c r="D126" s="7">
        <v>21081</v>
      </c>
      <c r="E126" s="7">
        <v>22268</v>
      </c>
      <c r="F126" s="7">
        <v>25880</v>
      </c>
      <c r="G126" s="7">
        <v>24947</v>
      </c>
      <c r="H126" s="7">
        <v>1986</v>
      </c>
      <c r="I126" s="7">
        <v>2094</v>
      </c>
    </row>
    <row r="127" spans="1:9" x14ac:dyDescent="0.3">
      <c r="A127" s="12" t="s">
        <v>109</v>
      </c>
      <c r="B127" s="7">
        <v>8637</v>
      </c>
      <c r="C127" s="7">
        <v>9067</v>
      </c>
      <c r="D127" s="7">
        <v>9654</v>
      </c>
      <c r="E127" s="7">
        <v>10733</v>
      </c>
      <c r="F127" s="7">
        <v>11668</v>
      </c>
      <c r="G127" s="7">
        <v>11042</v>
      </c>
      <c r="H127" s="7">
        <v>104</v>
      </c>
      <c r="I127" s="7">
        <v>103</v>
      </c>
    </row>
    <row r="128" spans="1:9" x14ac:dyDescent="0.3">
      <c r="A128" s="12" t="s">
        <v>110</v>
      </c>
      <c r="B128" s="7">
        <v>1631</v>
      </c>
      <c r="C128" s="7">
        <v>1496</v>
      </c>
      <c r="D128" s="7">
        <v>1425</v>
      </c>
      <c r="E128" s="7">
        <v>1396</v>
      </c>
      <c r="F128" s="7">
        <v>1428</v>
      </c>
      <c r="G128" s="7">
        <v>1305</v>
      </c>
      <c r="H128" s="7">
        <v>29</v>
      </c>
      <c r="I128" s="7">
        <v>26</v>
      </c>
    </row>
    <row r="129" spans="1:9" x14ac:dyDescent="0.3">
      <c r="A129" s="12" t="s">
        <v>117</v>
      </c>
      <c r="B129" s="7">
        <v>2015</v>
      </c>
      <c r="C129" s="7">
        <v>1942</v>
      </c>
      <c r="D129" s="7">
        <v>2190</v>
      </c>
      <c r="E129" s="7">
        <v>2000</v>
      </c>
      <c r="F129" s="7">
        <v>141</v>
      </c>
      <c r="G129" s="7">
        <v>109</v>
      </c>
      <c r="H129" s="7">
        <v>86</v>
      </c>
      <c r="I129" s="7">
        <v>123</v>
      </c>
    </row>
    <row r="130" spans="1:9" x14ac:dyDescent="0.3">
      <c r="A130" s="15" t="s">
        <v>118</v>
      </c>
      <c r="B130" s="7">
        <v>-82</v>
      </c>
      <c r="C130" s="7">
        <v>-86</v>
      </c>
      <c r="D130" s="7">
        <v>75</v>
      </c>
      <c r="E130" s="7">
        <v>26</v>
      </c>
      <c r="F130" s="7">
        <v>-7</v>
      </c>
      <c r="G130" s="7">
        <v>-11</v>
      </c>
      <c r="H130" s="7">
        <v>40</v>
      </c>
      <c r="I130" s="7">
        <v>-72</v>
      </c>
    </row>
    <row r="131" spans="1:9" x14ac:dyDescent="0.3">
      <c r="A131" s="18" t="s">
        <v>119</v>
      </c>
      <c r="B131" s="19">
        <f t="shared" ref="B131:I131" si="20">+B124+B125+B130</f>
        <v>30601</v>
      </c>
      <c r="C131" s="19">
        <f t="shared" si="20"/>
        <v>32376</v>
      </c>
      <c r="D131" s="19">
        <f t="shared" si="20"/>
        <v>34350</v>
      </c>
      <c r="E131" s="19">
        <f t="shared" si="20"/>
        <v>36397</v>
      </c>
      <c r="F131" s="19">
        <f t="shared" si="20"/>
        <v>39117</v>
      </c>
      <c r="G131" s="19">
        <f t="shared" si="20"/>
        <v>37403</v>
      </c>
      <c r="H131" s="19">
        <f t="shared" si="20"/>
        <v>44538</v>
      </c>
      <c r="I131" s="19">
        <f t="shared" si="20"/>
        <v>46710</v>
      </c>
    </row>
    <row r="132" spans="1:9" s="21" customFormat="1" x14ac:dyDescent="0.3">
      <c r="A132" s="21" t="s">
        <v>120</v>
      </c>
      <c r="B132" s="22">
        <f>+I131-I2</f>
        <v>0</v>
      </c>
      <c r="C132" s="22">
        <f t="shared" ref="C132:H132" si="21">+C131-C2</f>
        <v>0</v>
      </c>
      <c r="D132" s="22">
        <f t="shared" si="21"/>
        <v>0</v>
      </c>
      <c r="E132" s="22">
        <f t="shared" si="21"/>
        <v>0</v>
      </c>
      <c r="F132" s="22">
        <f t="shared" si="21"/>
        <v>0</v>
      </c>
      <c r="G132" s="22">
        <f t="shared" si="21"/>
        <v>0</v>
      </c>
      <c r="H132" s="22">
        <f t="shared" si="21"/>
        <v>0</v>
      </c>
    </row>
    <row r="133" spans="1:9" x14ac:dyDescent="0.3">
      <c r="A133" s="10" t="s">
        <v>121</v>
      </c>
    </row>
    <row r="134" spans="1:9" x14ac:dyDescent="0.3">
      <c r="A134" s="15" t="s">
        <v>107</v>
      </c>
      <c r="B134" s="7">
        <v>3645</v>
      </c>
      <c r="C134" s="7">
        <v>3763</v>
      </c>
      <c r="D134" s="7">
        <v>3875</v>
      </c>
      <c r="E134" s="7">
        <v>3600</v>
      </c>
      <c r="F134" s="7">
        <v>3925</v>
      </c>
      <c r="G134" s="7">
        <v>2899</v>
      </c>
      <c r="H134" s="7">
        <v>5089</v>
      </c>
      <c r="I134" s="7">
        <v>5114</v>
      </c>
    </row>
    <row r="135" spans="1:9" x14ac:dyDescent="0.3">
      <c r="A135" s="15" t="s">
        <v>111</v>
      </c>
      <c r="B135" s="7">
        <v>1524</v>
      </c>
      <c r="C135" s="7">
        <v>1787</v>
      </c>
      <c r="D135" s="7">
        <v>1507</v>
      </c>
      <c r="E135" s="7">
        <v>1587</v>
      </c>
      <c r="F135" s="7">
        <v>1995</v>
      </c>
      <c r="G135" s="7">
        <v>1541</v>
      </c>
      <c r="H135" s="7">
        <v>2435</v>
      </c>
      <c r="I135" s="7">
        <v>3293</v>
      </c>
    </row>
    <row r="136" spans="1:9" x14ac:dyDescent="0.3">
      <c r="A136" s="15" t="s">
        <v>112</v>
      </c>
      <c r="B136" s="7">
        <v>993</v>
      </c>
      <c r="C136" s="7">
        <v>1372</v>
      </c>
      <c r="D136" s="7">
        <v>1507</v>
      </c>
      <c r="E136" s="7">
        <v>1807</v>
      </c>
      <c r="F136" s="7">
        <v>2376</v>
      </c>
      <c r="G136" s="7">
        <v>2490</v>
      </c>
      <c r="H136" s="7">
        <v>3243</v>
      </c>
      <c r="I136" s="7">
        <v>2365</v>
      </c>
    </row>
    <row r="137" spans="1:9" x14ac:dyDescent="0.3">
      <c r="A137" s="15" t="s">
        <v>113</v>
      </c>
      <c r="B137" s="7">
        <v>918</v>
      </c>
      <c r="C137" s="7">
        <v>1002</v>
      </c>
      <c r="D137" s="7">
        <v>980</v>
      </c>
      <c r="E137" s="7">
        <v>1189</v>
      </c>
      <c r="F137" s="7">
        <v>1323</v>
      </c>
      <c r="G137" s="7">
        <v>1184</v>
      </c>
      <c r="H137" s="7">
        <v>1530</v>
      </c>
      <c r="I137" s="7">
        <v>1896</v>
      </c>
    </row>
    <row r="138" spans="1:9" x14ac:dyDescent="0.3">
      <c r="A138" s="15" t="s">
        <v>114</v>
      </c>
      <c r="B138" s="7">
        <v>-2267</v>
      </c>
      <c r="C138" s="7">
        <v>-2596</v>
      </c>
      <c r="D138" s="7">
        <v>-2677</v>
      </c>
      <c r="E138" s="7">
        <v>-2658</v>
      </c>
      <c r="F138" s="7">
        <v>-3262</v>
      </c>
      <c r="G138" s="7">
        <v>-3468</v>
      </c>
      <c r="H138" s="7">
        <v>-3656</v>
      </c>
      <c r="I138" s="7">
        <v>-4262</v>
      </c>
    </row>
    <row r="139" spans="1:9" x14ac:dyDescent="0.3">
      <c r="A139" s="16" t="s">
        <v>115</v>
      </c>
      <c r="B139" s="17">
        <f t="shared" ref="B139:I139" si="22">+SUM(B134:B138)</f>
        <v>4813</v>
      </c>
      <c r="C139" s="17">
        <f t="shared" si="22"/>
        <v>5328</v>
      </c>
      <c r="D139" s="17">
        <f t="shared" si="22"/>
        <v>5192</v>
      </c>
      <c r="E139" s="17">
        <f t="shared" si="22"/>
        <v>5525</v>
      </c>
      <c r="F139" s="17">
        <f t="shared" si="22"/>
        <v>6357</v>
      </c>
      <c r="G139" s="17">
        <f t="shared" si="22"/>
        <v>4646</v>
      </c>
      <c r="H139" s="17">
        <f t="shared" si="22"/>
        <v>8641</v>
      </c>
      <c r="I139" s="17">
        <f t="shared" si="22"/>
        <v>8406</v>
      </c>
    </row>
    <row r="140" spans="1:9" x14ac:dyDescent="0.3">
      <c r="A140" s="15" t="s">
        <v>116</v>
      </c>
      <c r="B140" s="7">
        <v>517</v>
      </c>
      <c r="C140" s="7">
        <v>487</v>
      </c>
      <c r="D140" s="7">
        <v>477</v>
      </c>
      <c r="E140" s="7">
        <v>310</v>
      </c>
      <c r="F140" s="7">
        <v>303</v>
      </c>
      <c r="G140" s="7">
        <v>297</v>
      </c>
      <c r="H140" s="7">
        <v>543</v>
      </c>
      <c r="I140" s="7">
        <v>669</v>
      </c>
    </row>
    <row r="141" spans="1:9" x14ac:dyDescent="0.3">
      <c r="A141" s="15" t="s">
        <v>118</v>
      </c>
      <c r="B141" s="7">
        <v>-1097</v>
      </c>
      <c r="C141" s="7">
        <v>-1173</v>
      </c>
      <c r="D141" s="7">
        <v>-724</v>
      </c>
      <c r="E141" s="7">
        <v>-1456</v>
      </c>
      <c r="F141" s="7">
        <v>-1810</v>
      </c>
      <c r="G141" s="7">
        <v>-1967</v>
      </c>
      <c r="H141" s="7">
        <v>-2261</v>
      </c>
      <c r="I141" s="7">
        <v>-2219</v>
      </c>
    </row>
    <row r="142" spans="1:9" x14ac:dyDescent="0.3">
      <c r="A142" s="18" t="s">
        <v>122</v>
      </c>
      <c r="B142" s="19">
        <f t="shared" ref="B142:I142" si="23">+SUM(B139:B141)</f>
        <v>4233</v>
      </c>
      <c r="C142" s="19">
        <f t="shared" si="23"/>
        <v>4642</v>
      </c>
      <c r="D142" s="19">
        <f t="shared" si="23"/>
        <v>4945</v>
      </c>
      <c r="E142" s="19">
        <f t="shared" si="23"/>
        <v>4379</v>
      </c>
      <c r="F142" s="19">
        <f t="shared" si="23"/>
        <v>4850</v>
      </c>
      <c r="G142" s="19">
        <f t="shared" si="23"/>
        <v>2976</v>
      </c>
      <c r="H142" s="19">
        <f t="shared" si="23"/>
        <v>6923</v>
      </c>
      <c r="I142" s="19">
        <f t="shared" si="23"/>
        <v>6856</v>
      </c>
    </row>
    <row r="143" spans="1:9" s="21" customFormat="1" x14ac:dyDescent="0.3">
      <c r="A143" s="21" t="s">
        <v>120</v>
      </c>
      <c r="B143" s="22">
        <f t="shared" ref="B143:I143" si="24">+B142-B10-B8</f>
        <v>0</v>
      </c>
      <c r="C143" s="22">
        <f t="shared" si="24"/>
        <v>0</v>
      </c>
      <c r="D143" s="22">
        <f t="shared" si="24"/>
        <v>0</v>
      </c>
      <c r="E143" s="22">
        <f t="shared" si="24"/>
        <v>0</v>
      </c>
      <c r="F143" s="22">
        <f t="shared" si="24"/>
        <v>0</v>
      </c>
      <c r="G143" s="22">
        <f t="shared" si="24"/>
        <v>0</v>
      </c>
      <c r="H143" s="22">
        <f t="shared" si="24"/>
        <v>0</v>
      </c>
      <c r="I143" s="22">
        <f t="shared" si="24"/>
        <v>0</v>
      </c>
    </row>
    <row r="144" spans="1:9" x14ac:dyDescent="0.3">
      <c r="A144" s="10" t="s">
        <v>123</v>
      </c>
    </row>
    <row r="145" spans="1:9" x14ac:dyDescent="0.3">
      <c r="A145" s="15" t="s">
        <v>107</v>
      </c>
      <c r="B145" s="7">
        <v>632</v>
      </c>
      <c r="C145" s="7">
        <v>742</v>
      </c>
      <c r="D145" s="7">
        <v>819</v>
      </c>
      <c r="E145" s="7">
        <v>848</v>
      </c>
      <c r="F145" s="7">
        <v>814</v>
      </c>
      <c r="G145" s="7">
        <v>645</v>
      </c>
      <c r="H145" s="7">
        <v>617</v>
      </c>
      <c r="I145" s="7">
        <v>639</v>
      </c>
    </row>
    <row r="146" spans="1:9" x14ac:dyDescent="0.3">
      <c r="A146" s="15" t="s">
        <v>111</v>
      </c>
      <c r="B146" s="7">
        <v>498</v>
      </c>
      <c r="C146" s="7">
        <v>639</v>
      </c>
      <c r="D146" s="7">
        <v>709</v>
      </c>
      <c r="E146" s="7">
        <v>849</v>
      </c>
      <c r="F146" s="7">
        <v>929</v>
      </c>
      <c r="G146" s="7">
        <v>885</v>
      </c>
      <c r="H146" s="7">
        <v>982</v>
      </c>
      <c r="I146" s="7">
        <v>920</v>
      </c>
    </row>
    <row r="147" spans="1:9" x14ac:dyDescent="0.3">
      <c r="A147" s="15" t="s">
        <v>112</v>
      </c>
      <c r="B147" s="7">
        <v>254</v>
      </c>
      <c r="C147" s="7">
        <v>234</v>
      </c>
      <c r="D147" s="7">
        <v>225</v>
      </c>
      <c r="E147" s="7">
        <v>256</v>
      </c>
      <c r="F147" s="7">
        <v>237</v>
      </c>
      <c r="G147" s="7">
        <v>214</v>
      </c>
      <c r="H147" s="7">
        <v>288</v>
      </c>
      <c r="I147" s="7">
        <v>303</v>
      </c>
    </row>
    <row r="148" spans="1:9" x14ac:dyDescent="0.3">
      <c r="A148" s="15" t="s">
        <v>124</v>
      </c>
      <c r="B148" s="7">
        <v>308</v>
      </c>
      <c r="C148" s="7">
        <v>332</v>
      </c>
      <c r="D148" s="7">
        <v>340</v>
      </c>
      <c r="E148" s="7">
        <v>339</v>
      </c>
      <c r="F148" s="7">
        <v>326</v>
      </c>
      <c r="G148" s="7">
        <v>296</v>
      </c>
      <c r="H148" s="7">
        <v>304</v>
      </c>
      <c r="I148" s="7">
        <v>274</v>
      </c>
    </row>
    <row r="149" spans="1:9" x14ac:dyDescent="0.3">
      <c r="A149" s="15" t="s">
        <v>114</v>
      </c>
      <c r="B149" s="7">
        <v>484</v>
      </c>
      <c r="C149" s="7">
        <v>511</v>
      </c>
      <c r="D149" s="7">
        <v>533</v>
      </c>
      <c r="E149" s="7">
        <v>597</v>
      </c>
      <c r="F149" s="7">
        <v>665</v>
      </c>
      <c r="G149" s="7">
        <v>830</v>
      </c>
      <c r="H149" s="7">
        <v>780</v>
      </c>
      <c r="I149" s="7">
        <v>789</v>
      </c>
    </row>
    <row r="150" spans="1:9" x14ac:dyDescent="0.3">
      <c r="A150" s="16" t="s">
        <v>125</v>
      </c>
      <c r="B150" s="17">
        <f t="shared" ref="B150:I150" si="25">+SUM(B145:B149)</f>
        <v>2176</v>
      </c>
      <c r="C150" s="17">
        <f t="shared" si="25"/>
        <v>2458</v>
      </c>
      <c r="D150" s="17">
        <f t="shared" si="25"/>
        <v>2626</v>
      </c>
      <c r="E150" s="17">
        <f t="shared" si="25"/>
        <v>2889</v>
      </c>
      <c r="F150" s="17">
        <f t="shared" si="25"/>
        <v>2971</v>
      </c>
      <c r="G150" s="17">
        <f t="shared" si="25"/>
        <v>2870</v>
      </c>
      <c r="H150" s="17">
        <f t="shared" si="25"/>
        <v>2971</v>
      </c>
      <c r="I150" s="17">
        <f t="shared" si="25"/>
        <v>2925</v>
      </c>
    </row>
    <row r="151" spans="1:9" x14ac:dyDescent="0.3">
      <c r="A151" s="15" t="s">
        <v>116</v>
      </c>
      <c r="B151" s="7">
        <v>122</v>
      </c>
      <c r="C151" s="7">
        <v>125</v>
      </c>
      <c r="D151" s="7">
        <v>125</v>
      </c>
      <c r="E151" s="7">
        <v>115</v>
      </c>
      <c r="F151" s="7">
        <v>100</v>
      </c>
      <c r="G151" s="7">
        <v>80</v>
      </c>
      <c r="H151" s="7">
        <v>63</v>
      </c>
      <c r="I151" s="7">
        <v>49</v>
      </c>
    </row>
    <row r="152" spans="1:9" x14ac:dyDescent="0.3">
      <c r="A152" s="15" t="s">
        <v>118</v>
      </c>
      <c r="B152" s="7">
        <v>713</v>
      </c>
      <c r="C152" s="7">
        <v>937</v>
      </c>
      <c r="D152" s="7">
        <v>1238</v>
      </c>
      <c r="E152" s="7">
        <v>1450</v>
      </c>
      <c r="F152" s="7">
        <v>1673</v>
      </c>
      <c r="G152" s="7">
        <v>1916</v>
      </c>
      <c r="H152" s="7">
        <v>1870</v>
      </c>
      <c r="I152" s="7">
        <v>1817</v>
      </c>
    </row>
    <row r="153" spans="1:9" x14ac:dyDescent="0.3">
      <c r="A153" s="18" t="s">
        <v>126</v>
      </c>
      <c r="B153" s="19">
        <f t="shared" ref="B153:I153" si="26">+SUM(B150:B152)</f>
        <v>3011</v>
      </c>
      <c r="C153" s="19">
        <f t="shared" si="26"/>
        <v>3520</v>
      </c>
      <c r="D153" s="19">
        <f t="shared" si="26"/>
        <v>3989</v>
      </c>
      <c r="E153" s="19">
        <f t="shared" si="26"/>
        <v>4454</v>
      </c>
      <c r="F153" s="19">
        <f t="shared" si="26"/>
        <v>4744</v>
      </c>
      <c r="G153" s="19">
        <f t="shared" si="26"/>
        <v>4866</v>
      </c>
      <c r="H153" s="19">
        <f t="shared" si="26"/>
        <v>4904</v>
      </c>
      <c r="I153" s="19">
        <f t="shared" si="26"/>
        <v>4791</v>
      </c>
    </row>
    <row r="154" spans="1:9" x14ac:dyDescent="0.3">
      <c r="A154" s="21" t="s">
        <v>120</v>
      </c>
      <c r="B154" s="22">
        <f t="shared" ref="B154:I154" si="27">+B153-B31</f>
        <v>0</v>
      </c>
      <c r="C154" s="22">
        <f t="shared" si="27"/>
        <v>0</v>
      </c>
      <c r="D154" s="22">
        <f t="shared" si="27"/>
        <v>0</v>
      </c>
      <c r="E154" s="22">
        <f t="shared" si="27"/>
        <v>0</v>
      </c>
      <c r="F154" s="22">
        <f t="shared" si="27"/>
        <v>0</v>
      </c>
      <c r="G154" s="22">
        <f t="shared" si="27"/>
        <v>0</v>
      </c>
      <c r="H154" s="22">
        <f t="shared" si="27"/>
        <v>0</v>
      </c>
      <c r="I154" s="22">
        <f t="shared" si="27"/>
        <v>0</v>
      </c>
    </row>
    <row r="155" spans="1:9" x14ac:dyDescent="0.3">
      <c r="A155" s="10" t="s">
        <v>127</v>
      </c>
    </row>
    <row r="156" spans="1:9" x14ac:dyDescent="0.3">
      <c r="A156" s="15" t="s">
        <v>107</v>
      </c>
      <c r="B156" s="7">
        <v>208</v>
      </c>
      <c r="C156" s="7">
        <v>242</v>
      </c>
      <c r="D156" s="7">
        <v>223</v>
      </c>
      <c r="E156" s="7">
        <v>196</v>
      </c>
      <c r="F156" s="7">
        <v>117</v>
      </c>
      <c r="G156" s="7">
        <v>110</v>
      </c>
      <c r="H156" s="7">
        <v>98</v>
      </c>
      <c r="I156" s="7">
        <v>146</v>
      </c>
    </row>
    <row r="157" spans="1:9" x14ac:dyDescent="0.3">
      <c r="A157" s="15" t="s">
        <v>111</v>
      </c>
      <c r="B157" s="7">
        <v>232</v>
      </c>
      <c r="C157" s="7">
        <v>236</v>
      </c>
      <c r="D157" s="7">
        <v>173</v>
      </c>
      <c r="E157" s="7">
        <v>240</v>
      </c>
      <c r="F157" s="7">
        <v>233</v>
      </c>
      <c r="G157" s="7">
        <v>139</v>
      </c>
      <c r="H157" s="7">
        <v>153</v>
      </c>
      <c r="I157" s="7">
        <v>197</v>
      </c>
    </row>
    <row r="158" spans="1:9" x14ac:dyDescent="0.3">
      <c r="A158" s="15" t="s">
        <v>112</v>
      </c>
      <c r="B158" s="7">
        <v>69</v>
      </c>
      <c r="C158" s="7">
        <v>44</v>
      </c>
      <c r="D158" s="7">
        <v>51</v>
      </c>
      <c r="E158" s="7">
        <v>76</v>
      </c>
      <c r="F158" s="7">
        <v>49</v>
      </c>
      <c r="G158" s="7">
        <v>28</v>
      </c>
      <c r="H158" s="7">
        <v>94</v>
      </c>
      <c r="I158" s="7">
        <v>78</v>
      </c>
    </row>
    <row r="159" spans="1:9" x14ac:dyDescent="0.3">
      <c r="A159" s="15" t="s">
        <v>124</v>
      </c>
      <c r="B159" s="7">
        <v>64</v>
      </c>
      <c r="C159" s="7">
        <v>52</v>
      </c>
      <c r="D159" s="7">
        <v>59</v>
      </c>
      <c r="E159" s="7">
        <v>49</v>
      </c>
      <c r="F159" s="7">
        <v>47</v>
      </c>
      <c r="G159" s="7">
        <v>41</v>
      </c>
      <c r="H159" s="7">
        <v>54</v>
      </c>
      <c r="I159" s="7">
        <v>56</v>
      </c>
    </row>
    <row r="160" spans="1:9" x14ac:dyDescent="0.3">
      <c r="A160" s="15" t="s">
        <v>114</v>
      </c>
      <c r="B160" s="7">
        <v>225</v>
      </c>
      <c r="C160" s="7">
        <v>258</v>
      </c>
      <c r="D160" s="7">
        <v>278</v>
      </c>
      <c r="E160" s="7">
        <v>286</v>
      </c>
      <c r="F160" s="7">
        <v>278</v>
      </c>
      <c r="G160" s="7">
        <v>438</v>
      </c>
      <c r="H160" s="7">
        <v>278</v>
      </c>
      <c r="I160" s="7">
        <v>222</v>
      </c>
    </row>
    <row r="161" spans="1:9" x14ac:dyDescent="0.3">
      <c r="A161" s="16" t="s">
        <v>125</v>
      </c>
      <c r="B161" s="17">
        <f t="shared" ref="B161:I161" si="28">+SUM(B156:B160)</f>
        <v>798</v>
      </c>
      <c r="C161" s="17">
        <f t="shared" si="28"/>
        <v>832</v>
      </c>
      <c r="D161" s="17">
        <f t="shared" si="28"/>
        <v>784</v>
      </c>
      <c r="E161" s="17">
        <f t="shared" si="28"/>
        <v>847</v>
      </c>
      <c r="F161" s="17">
        <f t="shared" si="28"/>
        <v>724</v>
      </c>
      <c r="G161" s="17">
        <f t="shared" si="28"/>
        <v>756</v>
      </c>
      <c r="H161" s="17">
        <f t="shared" si="28"/>
        <v>677</v>
      </c>
      <c r="I161" s="17">
        <f t="shared" si="28"/>
        <v>699</v>
      </c>
    </row>
    <row r="162" spans="1:9" x14ac:dyDescent="0.3">
      <c r="A162" s="15" t="s">
        <v>116</v>
      </c>
      <c r="B162" s="7">
        <v>69</v>
      </c>
      <c r="C162" s="7">
        <v>39</v>
      </c>
      <c r="D162" s="7">
        <v>30</v>
      </c>
      <c r="E162" s="7">
        <v>22</v>
      </c>
      <c r="F162" s="7">
        <v>18</v>
      </c>
      <c r="G162" s="7">
        <v>12</v>
      </c>
      <c r="H162" s="7">
        <v>7</v>
      </c>
      <c r="I162" s="7">
        <v>9</v>
      </c>
    </row>
    <row r="163" spans="1:9" x14ac:dyDescent="0.3">
      <c r="A163" s="15" t="s">
        <v>118</v>
      </c>
      <c r="B163" s="7">
        <f t="shared" ref="B163:I163" si="29">-(SUM(B161:B162)+B81)</f>
        <v>93</v>
      </c>
      <c r="C163" s="7">
        <f t="shared" si="29"/>
        <v>262</v>
      </c>
      <c r="D163" s="7">
        <f t="shared" si="29"/>
        <v>278</v>
      </c>
      <c r="E163" s="7">
        <f t="shared" si="29"/>
        <v>156</v>
      </c>
      <c r="F163" s="7">
        <f t="shared" si="29"/>
        <v>377</v>
      </c>
      <c r="G163" s="7">
        <f t="shared" si="29"/>
        <v>318</v>
      </c>
      <c r="H163" s="7">
        <f t="shared" si="29"/>
        <v>11</v>
      </c>
      <c r="I163" s="7">
        <f t="shared" si="29"/>
        <v>50</v>
      </c>
    </row>
    <row r="164" spans="1:9" x14ac:dyDescent="0.3">
      <c r="A164" s="18" t="s">
        <v>128</v>
      </c>
      <c r="B164" s="19">
        <f t="shared" ref="B164:I164" si="30">+SUM(B161:B163)</f>
        <v>960</v>
      </c>
      <c r="C164" s="19">
        <f t="shared" si="30"/>
        <v>1133</v>
      </c>
      <c r="D164" s="19">
        <f t="shared" si="30"/>
        <v>1092</v>
      </c>
      <c r="E164" s="19">
        <f t="shared" si="30"/>
        <v>1025</v>
      </c>
      <c r="F164" s="19">
        <f t="shared" si="30"/>
        <v>1119</v>
      </c>
      <c r="G164" s="19">
        <f t="shared" si="30"/>
        <v>1086</v>
      </c>
      <c r="H164" s="19">
        <f t="shared" si="30"/>
        <v>695</v>
      </c>
      <c r="I164" s="19">
        <f t="shared" si="30"/>
        <v>758</v>
      </c>
    </row>
    <row r="165" spans="1:9" x14ac:dyDescent="0.3">
      <c r="A165" s="21" t="s">
        <v>120</v>
      </c>
      <c r="B165" s="22">
        <f t="shared" ref="B165:I165" si="31">+B164+B81</f>
        <v>0</v>
      </c>
      <c r="C165" s="22">
        <f t="shared" si="31"/>
        <v>0</v>
      </c>
      <c r="D165" s="22">
        <f t="shared" si="31"/>
        <v>0</v>
      </c>
      <c r="E165" s="22">
        <f t="shared" si="31"/>
        <v>0</v>
      </c>
      <c r="F165" s="22">
        <f t="shared" si="31"/>
        <v>0</v>
      </c>
      <c r="G165" s="22">
        <f t="shared" si="31"/>
        <v>0</v>
      </c>
      <c r="H165" s="22">
        <f t="shared" si="31"/>
        <v>0</v>
      </c>
      <c r="I165" s="22">
        <f t="shared" si="31"/>
        <v>0</v>
      </c>
    </row>
    <row r="166" spans="1:9" x14ac:dyDescent="0.3">
      <c r="A166" s="10" t="s">
        <v>129</v>
      </c>
    </row>
    <row r="167" spans="1:9" x14ac:dyDescent="0.3">
      <c r="A167" s="15" t="s">
        <v>107</v>
      </c>
      <c r="B167" s="7">
        <v>121</v>
      </c>
      <c r="C167" s="7">
        <v>133</v>
      </c>
      <c r="D167" s="7">
        <v>140</v>
      </c>
      <c r="E167" s="7">
        <v>160</v>
      </c>
      <c r="F167" s="7">
        <v>149</v>
      </c>
      <c r="G167" s="7">
        <v>148</v>
      </c>
      <c r="H167" s="7">
        <v>130</v>
      </c>
      <c r="I167" s="7">
        <v>124</v>
      </c>
    </row>
    <row r="168" spans="1:9" x14ac:dyDescent="0.3">
      <c r="A168" s="15" t="s">
        <v>111</v>
      </c>
      <c r="B168" s="7">
        <v>87</v>
      </c>
      <c r="C168" s="7">
        <v>85</v>
      </c>
      <c r="D168" s="7">
        <v>106</v>
      </c>
      <c r="E168" s="7">
        <v>116</v>
      </c>
      <c r="F168" s="7">
        <v>111</v>
      </c>
      <c r="G168" s="7">
        <v>132</v>
      </c>
      <c r="H168" s="7">
        <v>136</v>
      </c>
      <c r="I168" s="7">
        <v>134</v>
      </c>
    </row>
    <row r="169" spans="1:9" x14ac:dyDescent="0.3">
      <c r="A169" s="15" t="s">
        <v>112</v>
      </c>
      <c r="B169" s="7">
        <v>46</v>
      </c>
      <c r="C169" s="7">
        <v>48</v>
      </c>
      <c r="D169" s="7">
        <v>54</v>
      </c>
      <c r="E169" s="7">
        <v>56</v>
      </c>
      <c r="F169" s="7">
        <v>50</v>
      </c>
      <c r="G169" s="7">
        <v>44</v>
      </c>
      <c r="H169" s="7">
        <v>46</v>
      </c>
      <c r="I169" s="7">
        <v>41</v>
      </c>
    </row>
    <row r="170" spans="1:9" x14ac:dyDescent="0.3">
      <c r="A170" s="15" t="s">
        <v>113</v>
      </c>
      <c r="B170" s="7">
        <v>49</v>
      </c>
      <c r="C170" s="7">
        <v>42</v>
      </c>
      <c r="D170" s="7">
        <v>54</v>
      </c>
      <c r="E170" s="7">
        <v>55</v>
      </c>
      <c r="F170" s="7">
        <v>53</v>
      </c>
      <c r="G170" s="7">
        <v>46</v>
      </c>
      <c r="H170" s="7">
        <v>43</v>
      </c>
      <c r="I170" s="7">
        <v>42</v>
      </c>
    </row>
    <row r="171" spans="1:9" x14ac:dyDescent="0.3">
      <c r="A171" s="15" t="s">
        <v>114</v>
      </c>
      <c r="B171" s="7">
        <v>210</v>
      </c>
      <c r="C171" s="7">
        <v>230</v>
      </c>
      <c r="D171" s="7">
        <v>233</v>
      </c>
      <c r="E171" s="7">
        <v>217</v>
      </c>
      <c r="F171" s="7">
        <v>195</v>
      </c>
      <c r="G171" s="7">
        <v>214</v>
      </c>
      <c r="H171" s="7">
        <v>222</v>
      </c>
      <c r="I171" s="7">
        <v>220</v>
      </c>
    </row>
    <row r="172" spans="1:9" x14ac:dyDescent="0.3">
      <c r="A172" s="16" t="s">
        <v>125</v>
      </c>
      <c r="B172" s="17">
        <f t="shared" ref="B172:I172" si="32">+SUM(B167:B171)</f>
        <v>513</v>
      </c>
      <c r="C172" s="17">
        <f t="shared" si="32"/>
        <v>538</v>
      </c>
      <c r="D172" s="17">
        <f t="shared" si="32"/>
        <v>587</v>
      </c>
      <c r="E172" s="17">
        <f t="shared" si="32"/>
        <v>604</v>
      </c>
      <c r="F172" s="17">
        <f t="shared" si="32"/>
        <v>558</v>
      </c>
      <c r="G172" s="17">
        <f t="shared" si="32"/>
        <v>584</v>
      </c>
      <c r="H172" s="17">
        <f t="shared" si="32"/>
        <v>577</v>
      </c>
      <c r="I172" s="17">
        <f t="shared" si="32"/>
        <v>561</v>
      </c>
    </row>
    <row r="173" spans="1:9" x14ac:dyDescent="0.3">
      <c r="A173" s="15" t="s">
        <v>116</v>
      </c>
      <c r="B173" s="7">
        <v>18</v>
      </c>
      <c r="C173" s="7">
        <v>27</v>
      </c>
      <c r="D173" s="7">
        <v>28</v>
      </c>
      <c r="E173" s="7">
        <v>33</v>
      </c>
      <c r="F173" s="7">
        <v>31</v>
      </c>
      <c r="G173" s="7">
        <v>25</v>
      </c>
      <c r="H173" s="7">
        <v>26</v>
      </c>
      <c r="I173" s="7">
        <v>22</v>
      </c>
    </row>
    <row r="174" spans="1:9" x14ac:dyDescent="0.3">
      <c r="A174" s="15" t="s">
        <v>118</v>
      </c>
      <c r="B174" s="7">
        <v>75</v>
      </c>
      <c r="C174" s="7">
        <v>84</v>
      </c>
      <c r="D174" s="7">
        <v>91</v>
      </c>
      <c r="E174" s="7">
        <v>110</v>
      </c>
      <c r="F174" s="7">
        <v>116</v>
      </c>
      <c r="G174" s="7">
        <v>112</v>
      </c>
      <c r="H174" s="7">
        <v>141</v>
      </c>
      <c r="I174" s="7">
        <v>134</v>
      </c>
    </row>
    <row r="175" spans="1:9" x14ac:dyDescent="0.3">
      <c r="A175" s="18" t="s">
        <v>130</v>
      </c>
      <c r="B175" s="19">
        <f t="shared" ref="B175:I175" si="33">+SUM(B172:B174)</f>
        <v>606</v>
      </c>
      <c r="C175" s="19">
        <f t="shared" si="33"/>
        <v>649</v>
      </c>
      <c r="D175" s="19">
        <f t="shared" si="33"/>
        <v>706</v>
      </c>
      <c r="E175" s="19">
        <f t="shared" si="33"/>
        <v>747</v>
      </c>
      <c r="F175" s="19">
        <f t="shared" si="33"/>
        <v>705</v>
      </c>
      <c r="G175" s="19">
        <f t="shared" si="33"/>
        <v>721</v>
      </c>
      <c r="H175" s="19">
        <f t="shared" si="33"/>
        <v>744</v>
      </c>
      <c r="I175" s="19">
        <f t="shared" si="33"/>
        <v>717</v>
      </c>
    </row>
    <row r="176" spans="1:9" x14ac:dyDescent="0.3">
      <c r="A176" s="21" t="s">
        <v>120</v>
      </c>
      <c r="B176" s="22">
        <f t="shared" ref="B176:I176" si="34">+B175-B66</f>
        <v>0</v>
      </c>
      <c r="C176" s="22">
        <f t="shared" si="34"/>
        <v>0</v>
      </c>
      <c r="D176" s="22">
        <f t="shared" si="34"/>
        <v>0</v>
      </c>
      <c r="E176" s="22">
        <f t="shared" si="34"/>
        <v>0</v>
      </c>
      <c r="F176" s="22">
        <f t="shared" si="34"/>
        <v>0</v>
      </c>
      <c r="G176" s="22">
        <f t="shared" si="34"/>
        <v>0</v>
      </c>
      <c r="H176" s="22">
        <f t="shared" si="34"/>
        <v>0</v>
      </c>
      <c r="I176" s="22">
        <f t="shared" si="34"/>
        <v>0</v>
      </c>
    </row>
    <row r="177" spans="1:9" x14ac:dyDescent="0.3">
      <c r="A177" s="23" t="s">
        <v>131</v>
      </c>
      <c r="B177" s="23"/>
      <c r="C177" s="23"/>
      <c r="D177" s="23"/>
      <c r="E177" s="23"/>
      <c r="F177" s="23"/>
      <c r="G177" s="23"/>
      <c r="H177" s="23"/>
      <c r="I177" s="23"/>
    </row>
    <row r="178" spans="1:9" x14ac:dyDescent="0.3">
      <c r="A178" s="29" t="s">
        <v>132</v>
      </c>
    </row>
    <row r="179" spans="1:9" x14ac:dyDescent="0.3">
      <c r="A179" s="30" t="s">
        <v>107</v>
      </c>
      <c r="B179" s="31">
        <f>(13740-12299)/12299</f>
        <v>0.11716399707293276</v>
      </c>
      <c r="C179" s="31">
        <f t="shared" ref="C179:H188" si="35">((C107-B107)/B107)</f>
        <v>7.4526928675400297E-2</v>
      </c>
      <c r="D179" s="31">
        <f t="shared" si="35"/>
        <v>3.061500948252506E-2</v>
      </c>
      <c r="E179" s="31">
        <f t="shared" si="35"/>
        <v>-2.3725026288117772E-2</v>
      </c>
      <c r="F179" s="31">
        <f t="shared" si="35"/>
        <v>7.0481319421070346E-2</v>
      </c>
      <c r="G179" s="31">
        <f t="shared" si="35"/>
        <v>-8.9171173437303478E-2</v>
      </c>
      <c r="H179" s="31">
        <f t="shared" si="35"/>
        <v>0.18606738470035902</v>
      </c>
      <c r="I179" s="31">
        <v>7.0000000000000007E-2</v>
      </c>
    </row>
    <row r="180" spans="1:9" x14ac:dyDescent="0.3">
      <c r="A180" s="32" t="s">
        <v>108</v>
      </c>
      <c r="B180" s="33">
        <f>(8506-7495)/7495</f>
        <v>0.13488992661774515</v>
      </c>
      <c r="C180" s="33">
        <f t="shared" si="35"/>
        <v>9.3228309428638606E-2</v>
      </c>
      <c r="D180" s="33">
        <f t="shared" si="35"/>
        <v>4.1402301322722872E-2</v>
      </c>
      <c r="E180" s="33">
        <f t="shared" si="35"/>
        <v>-3.7381247418422137E-2</v>
      </c>
      <c r="F180" s="33">
        <f t="shared" si="35"/>
        <v>7.7558463848959452E-2</v>
      </c>
      <c r="G180" s="33">
        <f t="shared" si="35"/>
        <v>-7.1279243404678949E-2</v>
      </c>
      <c r="H180" s="33">
        <f t="shared" si="35"/>
        <v>0.24815092721620752</v>
      </c>
      <c r="I180" s="33">
        <v>0.05</v>
      </c>
    </row>
    <row r="181" spans="1:9" x14ac:dyDescent="0.3">
      <c r="A181" s="32" t="s">
        <v>109</v>
      </c>
      <c r="B181" s="33">
        <f>(4410-3937)/3937</f>
        <v>0.12014224028448058</v>
      </c>
      <c r="C181" s="33">
        <f t="shared" si="35"/>
        <v>7.6190476190476197E-2</v>
      </c>
      <c r="D181" s="33">
        <f t="shared" si="35"/>
        <v>2.9498525073746312E-2</v>
      </c>
      <c r="E181" s="33">
        <f t="shared" si="35"/>
        <v>1.0642652476463364E-2</v>
      </c>
      <c r="F181" s="33">
        <f t="shared" si="35"/>
        <v>6.5208586472255969E-2</v>
      </c>
      <c r="G181" s="33">
        <f t="shared" si="35"/>
        <v>-0.11806083650190113</v>
      </c>
      <c r="H181" s="33">
        <f t="shared" si="35"/>
        <v>8.3854278939426596E-2</v>
      </c>
      <c r="I181" s="33">
        <v>0.09</v>
      </c>
    </row>
    <row r="182" spans="1:9" x14ac:dyDescent="0.3">
      <c r="A182" s="32" t="s">
        <v>110</v>
      </c>
      <c r="B182" s="33">
        <f>(824-867)/867</f>
        <v>-4.9596309111880045E-2</v>
      </c>
      <c r="C182" s="33">
        <f t="shared" si="35"/>
        <v>-0.12742718446601942</v>
      </c>
      <c r="D182" s="33">
        <f t="shared" si="35"/>
        <v>-0.10152990264255911</v>
      </c>
      <c r="E182" s="33">
        <f t="shared" si="35"/>
        <v>-7.8947368421052627E-2</v>
      </c>
      <c r="F182" s="33">
        <f t="shared" si="35"/>
        <v>3.3613445378151263E-3</v>
      </c>
      <c r="G182" s="33">
        <f t="shared" si="35"/>
        <v>-0.135678391959799</v>
      </c>
      <c r="H182" s="33">
        <f t="shared" si="35"/>
        <v>-1.7441860465116279E-2</v>
      </c>
      <c r="I182" s="33">
        <v>0.25</v>
      </c>
    </row>
    <row r="183" spans="1:9" x14ac:dyDescent="0.3">
      <c r="A183" s="30" t="s">
        <v>111</v>
      </c>
      <c r="B183" s="31">
        <f>(7126-6366)/6366</f>
        <v>0.1193842287150487</v>
      </c>
      <c r="C183" s="31">
        <f t="shared" si="35"/>
        <v>6.2026382262138649E-2</v>
      </c>
      <c r="D183" s="31">
        <f t="shared" si="35"/>
        <v>5.3118393234672302E-2</v>
      </c>
      <c r="E183" s="31">
        <f t="shared" si="35"/>
        <v>0.15959849435382686</v>
      </c>
      <c r="F183" s="31">
        <f t="shared" si="35"/>
        <v>6.1674962129409219E-2</v>
      </c>
      <c r="G183" s="31">
        <f t="shared" si="35"/>
        <v>-4.7390949857317573E-2</v>
      </c>
      <c r="H183" s="31">
        <f t="shared" si="35"/>
        <v>0.22563389322777361</v>
      </c>
      <c r="I183" s="31">
        <v>0.12</v>
      </c>
    </row>
    <row r="184" spans="1:9" x14ac:dyDescent="0.3">
      <c r="A184" s="32" t="s">
        <v>108</v>
      </c>
      <c r="B184" s="33">
        <f>(4703-4062)/4062</f>
        <v>0.15780403741999016</v>
      </c>
      <c r="C184" s="33">
        <f t="shared" si="35"/>
        <v>7.2294280246651077E-2</v>
      </c>
      <c r="D184" s="33">
        <f t="shared" si="35"/>
        <v>2.9545905215149711E-2</v>
      </c>
      <c r="E184" s="33">
        <f t="shared" si="35"/>
        <v>0.13154853620955315</v>
      </c>
      <c r="F184" s="33">
        <f t="shared" si="35"/>
        <v>7.114893617021277E-2</v>
      </c>
      <c r="G184" s="33">
        <f t="shared" si="35"/>
        <v>-6.3721595423486418E-2</v>
      </c>
      <c r="H184" s="33">
        <f t="shared" si="35"/>
        <v>0.18295994568906992</v>
      </c>
      <c r="I184" s="33">
        <v>0.09</v>
      </c>
    </row>
    <row r="185" spans="1:9" x14ac:dyDescent="0.3">
      <c r="A185" s="32" t="s">
        <v>109</v>
      </c>
      <c r="B185" s="33">
        <f>(2051-1959)/1959</f>
        <v>4.6962736089841757E-2</v>
      </c>
      <c r="C185" s="33">
        <f t="shared" si="35"/>
        <v>4.778156996587031E-2</v>
      </c>
      <c r="D185" s="33">
        <f t="shared" si="35"/>
        <v>0.11447184737087017</v>
      </c>
      <c r="E185" s="33">
        <f t="shared" si="35"/>
        <v>0.22755741127348644</v>
      </c>
      <c r="F185" s="33">
        <f t="shared" si="35"/>
        <v>0.05</v>
      </c>
      <c r="G185" s="33">
        <f t="shared" si="35"/>
        <v>-1.101392938127632E-2</v>
      </c>
      <c r="H185" s="33">
        <f t="shared" si="35"/>
        <v>0.30887651490337376</v>
      </c>
      <c r="I185" s="33">
        <v>0.16</v>
      </c>
    </row>
    <row r="186" spans="1:9" x14ac:dyDescent="0.3">
      <c r="A186" s="32" t="s">
        <v>110</v>
      </c>
      <c r="B186" s="33">
        <f>(372-345)/345</f>
        <v>7.8260869565217397E-2</v>
      </c>
      <c r="C186" s="33">
        <f t="shared" si="35"/>
        <v>1.0752688172043012E-2</v>
      </c>
      <c r="D186" s="33">
        <f t="shared" si="35"/>
        <v>1.8617021276595744E-2</v>
      </c>
      <c r="E186" s="33">
        <f t="shared" si="35"/>
        <v>0.11488250652741515</v>
      </c>
      <c r="F186" s="33">
        <f t="shared" si="35"/>
        <v>1.1709601873536301E-2</v>
      </c>
      <c r="G186" s="33">
        <f t="shared" si="35"/>
        <v>-6.9444444444444448E-2</v>
      </c>
      <c r="H186" s="33">
        <f t="shared" si="35"/>
        <v>0.21890547263681592</v>
      </c>
      <c r="I186" s="33">
        <v>0.17</v>
      </c>
    </row>
    <row r="187" spans="1:9" x14ac:dyDescent="0.3">
      <c r="A187" s="30" t="s">
        <v>112</v>
      </c>
      <c r="B187" s="31">
        <f>(3067-2602)/2602</f>
        <v>0.17870868562644121</v>
      </c>
      <c r="C187" s="31">
        <f t="shared" si="35"/>
        <v>0.23410498858819692</v>
      </c>
      <c r="D187" s="31">
        <f t="shared" si="35"/>
        <v>0.11941875825627477</v>
      </c>
      <c r="E187" s="31">
        <f t="shared" si="35"/>
        <v>0.21170639603493038</v>
      </c>
      <c r="F187" s="31">
        <f t="shared" si="35"/>
        <v>0.20919361121932217</v>
      </c>
      <c r="G187" s="31">
        <f t="shared" si="35"/>
        <v>7.5869845360824736E-2</v>
      </c>
      <c r="H187" s="31">
        <f t="shared" si="35"/>
        <v>0.24120377301991316</v>
      </c>
      <c r="I187" s="31">
        <v>-0.13</v>
      </c>
    </row>
    <row r="188" spans="1:9" x14ac:dyDescent="0.3">
      <c r="A188" s="32" t="s">
        <v>108</v>
      </c>
      <c r="B188" s="33">
        <f>(2016-1600)/1600</f>
        <v>0.26</v>
      </c>
      <c r="C188" s="33">
        <f t="shared" si="35"/>
        <v>0.28918650793650796</v>
      </c>
      <c r="D188" s="33">
        <f t="shared" si="35"/>
        <v>0.12350904193920739</v>
      </c>
      <c r="E188" s="33">
        <f t="shared" si="35"/>
        <v>0.19726027397260273</v>
      </c>
      <c r="F188" s="33">
        <f t="shared" si="35"/>
        <v>0.21910755148741418</v>
      </c>
      <c r="G188" s="33">
        <f t="shared" si="35"/>
        <v>8.7517597372125763E-2</v>
      </c>
      <c r="H188" s="33">
        <f t="shared" si="35"/>
        <v>0.24012944983818771</v>
      </c>
      <c r="I188" s="33">
        <v>-0.1</v>
      </c>
    </row>
    <row r="189" spans="1:9" x14ac:dyDescent="0.3">
      <c r="A189" s="32" t="s">
        <v>109</v>
      </c>
      <c r="B189" s="33">
        <f>(925-876)/876</f>
        <v>5.5936073059360727E-2</v>
      </c>
      <c r="C189" s="33">
        <f t="shared" ref="C189:H198" si="36">((C117-B117)/B117)</f>
        <v>0.14054054054054055</v>
      </c>
      <c r="D189" s="33">
        <f t="shared" si="36"/>
        <v>0.12606635071090047</v>
      </c>
      <c r="E189" s="33">
        <f t="shared" si="36"/>
        <v>0.26936026936026936</v>
      </c>
      <c r="F189" s="33">
        <f t="shared" si="36"/>
        <v>0.19893899204244031</v>
      </c>
      <c r="G189" s="33">
        <f t="shared" si="36"/>
        <v>4.8672566371681415E-2</v>
      </c>
      <c r="H189" s="33">
        <f t="shared" si="36"/>
        <v>0.2378691983122363</v>
      </c>
      <c r="I189" s="33">
        <v>-0.21</v>
      </c>
    </row>
    <row r="190" spans="1:9" x14ac:dyDescent="0.3">
      <c r="A190" s="32" t="s">
        <v>110</v>
      </c>
      <c r="B190" s="33">
        <f>(126-126)/126</f>
        <v>0</v>
      </c>
      <c r="C190" s="33">
        <f t="shared" si="36"/>
        <v>3.968253968253968E-2</v>
      </c>
      <c r="D190" s="33">
        <f t="shared" si="36"/>
        <v>-1.5267175572519083E-2</v>
      </c>
      <c r="E190" s="33">
        <f t="shared" si="36"/>
        <v>7.7519379844961239E-3</v>
      </c>
      <c r="F190" s="33">
        <f t="shared" si="36"/>
        <v>6.1538461538461542E-2</v>
      </c>
      <c r="G190" s="33">
        <f t="shared" si="36"/>
        <v>7.2463768115942032E-2</v>
      </c>
      <c r="H190" s="33">
        <f t="shared" si="36"/>
        <v>0.31756756756756754</v>
      </c>
      <c r="I190" s="33">
        <v>-0.06</v>
      </c>
    </row>
    <row r="191" spans="1:9" x14ac:dyDescent="0.3">
      <c r="A191" s="30" t="s">
        <v>113</v>
      </c>
      <c r="B191" s="31">
        <f>(4653-4720)/4720</f>
        <v>-1.4194915254237288E-2</v>
      </c>
      <c r="C191" s="31">
        <f t="shared" si="36"/>
        <v>-7.2211476466795613E-2</v>
      </c>
      <c r="D191" s="31">
        <f t="shared" si="36"/>
        <v>9.7289784572619872E-2</v>
      </c>
      <c r="E191" s="31">
        <f t="shared" si="36"/>
        <v>9.0563647878404055E-2</v>
      </c>
      <c r="F191" s="31">
        <f t="shared" si="36"/>
        <v>1.7034456058846303E-2</v>
      </c>
      <c r="G191" s="31">
        <f t="shared" si="36"/>
        <v>-4.3014845831747243E-2</v>
      </c>
      <c r="H191" s="31">
        <f t="shared" si="36"/>
        <v>6.2649164677804292E-2</v>
      </c>
      <c r="I191" s="31">
        <v>0.16</v>
      </c>
    </row>
    <row r="192" spans="1:9" x14ac:dyDescent="0.3">
      <c r="A192" s="32" t="s">
        <v>108</v>
      </c>
      <c r="B192" s="33">
        <f>(3093-3051)/3051</f>
        <v>1.376597836774828E-2</v>
      </c>
      <c r="C192" s="33">
        <f t="shared" si="36"/>
        <v>-5.2699644358228256E-2</v>
      </c>
      <c r="D192" s="33">
        <f t="shared" si="36"/>
        <v>0.12116040955631399</v>
      </c>
      <c r="E192" s="33">
        <f t="shared" si="36"/>
        <v>8.8280060882800604E-2</v>
      </c>
      <c r="F192" s="33">
        <f t="shared" si="36"/>
        <v>1.3146853146853148E-2</v>
      </c>
      <c r="G192" s="33">
        <f t="shared" si="36"/>
        <v>-4.7763666482606291E-2</v>
      </c>
      <c r="H192" s="33">
        <f t="shared" si="36"/>
        <v>6.0887213685126125E-2</v>
      </c>
      <c r="I192" s="33">
        <v>0.17</v>
      </c>
    </row>
    <row r="193" spans="1:9" x14ac:dyDescent="0.3">
      <c r="A193" s="32" t="s">
        <v>109</v>
      </c>
      <c r="B193" s="33">
        <f>(B121-1337)/1337</f>
        <v>-6.4323111443530298E-2</v>
      </c>
      <c r="C193" s="33">
        <f t="shared" si="36"/>
        <v>-0.10711430855315747</v>
      </c>
      <c r="D193" s="33">
        <f t="shared" si="36"/>
        <v>6.087735004476276E-2</v>
      </c>
      <c r="E193" s="33">
        <f t="shared" si="36"/>
        <v>0.13670886075949368</v>
      </c>
      <c r="F193" s="33">
        <f t="shared" si="36"/>
        <v>3.5634743875278395E-2</v>
      </c>
      <c r="G193" s="33">
        <f t="shared" si="36"/>
        <v>-2.1505376344086023E-2</v>
      </c>
      <c r="H193" s="33">
        <f t="shared" si="36"/>
        <v>9.4505494505494503E-2</v>
      </c>
      <c r="I193" s="33">
        <v>0.12</v>
      </c>
    </row>
    <row r="194" spans="1:9" x14ac:dyDescent="0.3">
      <c r="A194" s="32" t="s">
        <v>110</v>
      </c>
      <c r="B194" s="33">
        <f>(B122-332)/332</f>
        <v>-6.9277108433734941E-2</v>
      </c>
      <c r="C194" s="33">
        <f t="shared" si="36"/>
        <v>-0.12621359223300971</v>
      </c>
      <c r="D194" s="33">
        <f t="shared" si="36"/>
        <v>-1.1111111111111112E-2</v>
      </c>
      <c r="E194" s="33">
        <f t="shared" si="36"/>
        <v>-8.6142322097378279E-2</v>
      </c>
      <c r="F194" s="33">
        <f t="shared" si="36"/>
        <v>-2.8688524590163935E-2</v>
      </c>
      <c r="G194" s="33">
        <f t="shared" si="36"/>
        <v>-9.7046413502109699E-2</v>
      </c>
      <c r="H194" s="33">
        <f t="shared" si="36"/>
        <v>-0.11214953271028037</v>
      </c>
      <c r="I194" s="33">
        <v>0.28000000000000003</v>
      </c>
    </row>
    <row r="195" spans="1:9" x14ac:dyDescent="0.3">
      <c r="A195" s="30" t="s">
        <v>114</v>
      </c>
      <c r="B195" s="31">
        <f>(115-125)/125</f>
        <v>-0.08</v>
      </c>
      <c r="C195" s="34">
        <f t="shared" si="36"/>
        <v>-0.36521739130434783</v>
      </c>
      <c r="D195" s="34">
        <f t="shared" si="36"/>
        <v>0</v>
      </c>
      <c r="E195" s="34">
        <f t="shared" si="36"/>
        <v>0.20547945205479451</v>
      </c>
      <c r="F195" s="34">
        <f t="shared" si="36"/>
        <v>-0.52272727272727271</v>
      </c>
      <c r="G195" s="34">
        <f t="shared" si="36"/>
        <v>-0.2857142857142857</v>
      </c>
      <c r="H195" s="31">
        <f t="shared" si="36"/>
        <v>-0.16666666666666666</v>
      </c>
      <c r="I195" s="31">
        <v>3.02</v>
      </c>
    </row>
    <row r="196" spans="1:9" x14ac:dyDescent="0.3">
      <c r="A196" s="35" t="s">
        <v>115</v>
      </c>
      <c r="B196" s="36">
        <f>(28701-26112)/26112</f>
        <v>9.914981617647059E-2</v>
      </c>
      <c r="C196" s="33">
        <f t="shared" si="36"/>
        <v>6.2924636772237905E-2</v>
      </c>
      <c r="D196" s="33">
        <f t="shared" si="36"/>
        <v>5.6577179008096501E-2</v>
      </c>
      <c r="E196" s="33">
        <f t="shared" si="36"/>
        <v>6.9866286104303038E-2</v>
      </c>
      <c r="F196" s="33">
        <f t="shared" si="36"/>
        <v>7.9251848629839056E-2</v>
      </c>
      <c r="G196" s="33">
        <f t="shared" si="36"/>
        <v>-4.4333387070772209E-2</v>
      </c>
      <c r="H196" s="37">
        <f t="shared" si="36"/>
        <v>0.18907444894286998</v>
      </c>
      <c r="I196" s="36">
        <v>0.06</v>
      </c>
    </row>
    <row r="197" spans="1:9" x14ac:dyDescent="0.3">
      <c r="A197" s="30" t="s">
        <v>116</v>
      </c>
      <c r="B197" s="31">
        <f>(1982-1684)/1684</f>
        <v>0.17695961995249407</v>
      </c>
      <c r="C197" s="31">
        <f t="shared" si="36"/>
        <v>-1.3622603430877902E-2</v>
      </c>
      <c r="D197" s="31">
        <f t="shared" si="36"/>
        <v>4.4501278772378514E-2</v>
      </c>
      <c r="E197" s="31">
        <f t="shared" si="36"/>
        <v>-7.6395690499510283E-2</v>
      </c>
      <c r="F197" s="31">
        <f t="shared" si="36"/>
        <v>1.0604453870625663E-2</v>
      </c>
      <c r="G197" s="31">
        <f t="shared" si="36"/>
        <v>-3.1479538300104928E-2</v>
      </c>
      <c r="H197" s="31">
        <f t="shared" si="36"/>
        <v>0.19447453954496208</v>
      </c>
      <c r="I197" s="31">
        <v>7.0000000000000007E-2</v>
      </c>
    </row>
    <row r="198" spans="1:9" x14ac:dyDescent="0.3">
      <c r="A198" s="32" t="s">
        <v>108</v>
      </c>
      <c r="B198" s="33">
        <f>(18318-16208)/16208</f>
        <v>0.13018262586377097</v>
      </c>
      <c r="C198" s="33">
        <f t="shared" si="36"/>
        <v>8.4779997816355493E-2</v>
      </c>
      <c r="D198" s="33">
        <f t="shared" si="36"/>
        <v>6.0892758290976803E-2</v>
      </c>
      <c r="E198" s="33">
        <f t="shared" si="36"/>
        <v>5.6306626820359564E-2</v>
      </c>
      <c r="F198" s="33">
        <f t="shared" si="36"/>
        <v>0.16220585593677025</v>
      </c>
      <c r="G198" s="33">
        <f t="shared" si="36"/>
        <v>-3.6051004636785164E-2</v>
      </c>
      <c r="H198" s="33">
        <f t="shared" si="36"/>
        <v>-0.92039122940634144</v>
      </c>
      <c r="I198" s="33">
        <v>0.06</v>
      </c>
    </row>
    <row r="199" spans="1:9" x14ac:dyDescent="0.3">
      <c r="A199" s="32" t="s">
        <v>109</v>
      </c>
      <c r="B199" s="33">
        <f>(8637-8109)/8109</f>
        <v>6.5112837587865333E-2</v>
      </c>
      <c r="C199" s="33">
        <f t="shared" ref="C199:H208" si="37">((C127-B127)/B127)</f>
        <v>4.978580525645479E-2</v>
      </c>
      <c r="D199" s="33">
        <f t="shared" si="37"/>
        <v>6.4740266901952129E-2</v>
      </c>
      <c r="E199" s="33">
        <f t="shared" si="37"/>
        <v>0.11176714315309716</v>
      </c>
      <c r="F199" s="33">
        <f t="shared" si="37"/>
        <v>8.7114506661697566E-2</v>
      </c>
      <c r="G199" s="33">
        <f t="shared" si="37"/>
        <v>-5.3651011312992804E-2</v>
      </c>
      <c r="H199" s="33">
        <f t="shared" si="37"/>
        <v>-0.99058141641007069</v>
      </c>
      <c r="I199" s="33">
        <v>-0.03</v>
      </c>
    </row>
    <row r="200" spans="1:9" x14ac:dyDescent="0.3">
      <c r="A200" s="32" t="s">
        <v>110</v>
      </c>
      <c r="B200" s="33">
        <f>(1631-1670)/1670</f>
        <v>-2.3353293413173652E-2</v>
      </c>
      <c r="C200" s="33">
        <f t="shared" si="37"/>
        <v>-8.2771305947271612E-2</v>
      </c>
      <c r="D200" s="33">
        <f t="shared" si="37"/>
        <v>-4.7459893048128345E-2</v>
      </c>
      <c r="E200" s="33">
        <f t="shared" si="37"/>
        <v>-2.0350877192982456E-2</v>
      </c>
      <c r="F200" s="33">
        <f t="shared" si="37"/>
        <v>2.2922636103151862E-2</v>
      </c>
      <c r="G200" s="33">
        <f t="shared" si="37"/>
        <v>-8.6134453781512604E-2</v>
      </c>
      <c r="H200" s="33">
        <f t="shared" si="37"/>
        <v>-0.97777777777777775</v>
      </c>
      <c r="I200" s="33">
        <v>-0.16</v>
      </c>
    </row>
    <row r="201" spans="1:9" x14ac:dyDescent="0.3">
      <c r="A201" s="32" t="s">
        <v>117</v>
      </c>
      <c r="B201" s="33">
        <f>(2015-1812)/1812</f>
        <v>0.1120309050772627</v>
      </c>
      <c r="C201" s="33">
        <f t="shared" si="37"/>
        <v>-3.6228287841191066E-2</v>
      </c>
      <c r="D201" s="33">
        <f t="shared" si="37"/>
        <v>0.12770339855818744</v>
      </c>
      <c r="E201" s="33">
        <f t="shared" si="37"/>
        <v>-8.6757990867579904E-2</v>
      </c>
      <c r="F201" s="33">
        <f t="shared" si="37"/>
        <v>-0.92949999999999999</v>
      </c>
      <c r="G201" s="33">
        <f t="shared" si="37"/>
        <v>-0.22695035460992907</v>
      </c>
      <c r="H201" s="33">
        <f t="shared" si="37"/>
        <v>-0.21100917431192662</v>
      </c>
      <c r="I201" s="33">
        <v>0.42</v>
      </c>
    </row>
    <row r="202" spans="1:9" x14ac:dyDescent="0.3">
      <c r="A202" s="38" t="s">
        <v>118</v>
      </c>
      <c r="B202" s="33">
        <f>((-82)-3)/3</f>
        <v>-28.333333333333332</v>
      </c>
      <c r="C202" s="33">
        <f t="shared" si="37"/>
        <v>4.878048780487805E-2</v>
      </c>
      <c r="D202" s="33">
        <f t="shared" si="37"/>
        <v>-1.8720930232558139</v>
      </c>
      <c r="E202" s="33">
        <f t="shared" si="37"/>
        <v>-0.65333333333333332</v>
      </c>
      <c r="F202" s="33">
        <f t="shared" si="37"/>
        <v>-1.2692307692307692</v>
      </c>
      <c r="G202" s="33">
        <f t="shared" si="37"/>
        <v>0.5714285714285714</v>
      </c>
      <c r="H202" s="33">
        <f t="shared" si="37"/>
        <v>-4.6363636363636367</v>
      </c>
      <c r="I202" s="33">
        <v>0</v>
      </c>
    </row>
    <row r="203" spans="1:9" x14ac:dyDescent="0.3">
      <c r="A203" s="39" t="s">
        <v>119</v>
      </c>
      <c r="B203" s="40">
        <f>(30601-27799)/27799</f>
        <v>0.10079499262563402</v>
      </c>
      <c r="C203" s="40">
        <f t="shared" si="37"/>
        <v>5.8004640371229696E-2</v>
      </c>
      <c r="D203" s="40">
        <f t="shared" si="37"/>
        <v>6.0971089696071165E-2</v>
      </c>
      <c r="E203" s="40">
        <f t="shared" si="37"/>
        <v>5.9592430858806403E-2</v>
      </c>
      <c r="F203" s="40">
        <f t="shared" si="37"/>
        <v>7.4731433909388134E-2</v>
      </c>
      <c r="G203" s="40">
        <f t="shared" si="37"/>
        <v>-4.3817266150267146E-2</v>
      </c>
      <c r="H203" s="40">
        <f t="shared" si="37"/>
        <v>0.1907600994572628</v>
      </c>
      <c r="I203" s="40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3"/>
  <sheetViews>
    <sheetView tabSelected="1" topLeftCell="A60" zoomScale="95" zoomScaleNormal="95" workbookViewId="0">
      <selection activeCell="O156" sqref="O156"/>
    </sheetView>
  </sheetViews>
  <sheetFormatPr defaultColWidth="8.6640625" defaultRowHeight="14.4" x14ac:dyDescent="0.3"/>
  <cols>
    <col min="1" max="1" width="48.77734375" customWidth="1"/>
    <col min="2" max="15" width="11.77734375" customWidth="1"/>
    <col min="16" max="16" width="30.5546875" customWidth="1"/>
  </cols>
  <sheetData>
    <row r="1" spans="1:16" ht="60" customHeight="1" x14ac:dyDescent="0.3">
      <c r="A1" s="5" t="s">
        <v>6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1">
        <f>+I1+1</f>
        <v>2023</v>
      </c>
      <c r="K1" s="41">
        <f>+J1+1</f>
        <v>2024</v>
      </c>
      <c r="L1" s="41">
        <f>+K1+1</f>
        <v>2025</v>
      </c>
      <c r="M1" s="41">
        <f>+L1+1</f>
        <v>2026</v>
      </c>
      <c r="N1" s="41">
        <f>+M1+1</f>
        <v>2027</v>
      </c>
      <c r="O1" s="41"/>
      <c r="P1" s="41"/>
    </row>
    <row r="2" spans="1:16" x14ac:dyDescent="0.3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  <c r="O2" s="41"/>
      <c r="P2" s="41"/>
    </row>
    <row r="3" spans="1:16" x14ac:dyDescent="0.3">
      <c r="A3" s="11" t="s">
        <v>134</v>
      </c>
      <c r="B3" s="11">
        <f t="shared" ref="B3:N3" si="1">B21+B52+B71+B102+B133+B164+B195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  <c r="O3" s="11"/>
      <c r="P3" s="7"/>
    </row>
    <row r="4" spans="1:16" x14ac:dyDescent="0.3">
      <c r="A4" s="43" t="s">
        <v>135</v>
      </c>
      <c r="B4" s="44">
        <v>0.1</v>
      </c>
      <c r="C4" s="44">
        <f>(C3-B3)/C3</f>
        <v>5.4824561403508769E-2</v>
      </c>
      <c r="D4" s="44">
        <v>0.06</v>
      </c>
      <c r="E4" s="44">
        <v>0.06</v>
      </c>
      <c r="F4" s="44">
        <f>(F3-E3)/F3</f>
        <v>6.9534984789222071E-2</v>
      </c>
      <c r="G4" s="44">
        <f>(G3-F3)/G3</f>
        <v>-4.5825201187070556E-2</v>
      </c>
      <c r="H4" s="44">
        <v>0.19</v>
      </c>
      <c r="I4" s="44">
        <v>0.05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/>
      <c r="P4" s="44"/>
    </row>
    <row r="5" spans="1:16" x14ac:dyDescent="0.3">
      <c r="A5" s="11" t="s">
        <v>136</v>
      </c>
      <c r="B5" s="10">
        <f t="shared" ref="B5:I5" si="2">B8+B11</f>
        <v>4839</v>
      </c>
      <c r="C5" s="10">
        <f t="shared" si="2"/>
        <v>5291</v>
      </c>
      <c r="D5" s="10">
        <f t="shared" si="2"/>
        <v>5651</v>
      </c>
      <c r="E5" s="10">
        <f t="shared" si="2"/>
        <v>5126</v>
      </c>
      <c r="F5" s="10">
        <f t="shared" si="2"/>
        <v>5555</v>
      </c>
      <c r="G5" s="10">
        <f t="shared" si="2"/>
        <v>3697</v>
      </c>
      <c r="H5" s="10">
        <f t="shared" si="2"/>
        <v>7667</v>
      </c>
      <c r="I5" s="10">
        <f t="shared" si="2"/>
        <v>7573</v>
      </c>
      <c r="J5" s="10">
        <f>J35+J54+J85+J116+J147+J178+J197</f>
        <v>7573</v>
      </c>
      <c r="K5" s="10">
        <f>K35+K54+K85+K116+K147+K178+K197</f>
        <v>7573</v>
      </c>
      <c r="L5" s="10">
        <f>L35+L54+L85+L116+L147+L178+L197</f>
        <v>7573</v>
      </c>
      <c r="M5" s="10">
        <f>M35+M54+M85+M116+M147+M178+M197</f>
        <v>7573</v>
      </c>
      <c r="N5" s="10">
        <f>N35+N54+N85+N116+N147+N178+N197</f>
        <v>7573</v>
      </c>
      <c r="O5" s="10"/>
      <c r="P5" s="10"/>
    </row>
    <row r="6" spans="1:16" x14ac:dyDescent="0.3">
      <c r="A6" s="43" t="s">
        <v>135</v>
      </c>
      <c r="B6" s="44">
        <f>(4839-4095)/4839</f>
        <v>0.15375077495350278</v>
      </c>
      <c r="C6" s="44">
        <f t="shared" ref="C6:I6" si="3">(C5-B5)/C5</f>
        <v>8.5428085428085429E-2</v>
      </c>
      <c r="D6" s="44">
        <f t="shared" si="3"/>
        <v>6.3705538842682707E-2</v>
      </c>
      <c r="E6" s="44">
        <f t="shared" si="3"/>
        <v>-0.10241904018728053</v>
      </c>
      <c r="F6" s="44">
        <f t="shared" si="3"/>
        <v>7.7227722772277227E-2</v>
      </c>
      <c r="G6" s="44">
        <f t="shared" si="3"/>
        <v>-0.50256965106843388</v>
      </c>
      <c r="H6" s="44">
        <f t="shared" si="3"/>
        <v>0.51780357375766273</v>
      </c>
      <c r="I6" s="44">
        <f t="shared" si="3"/>
        <v>-1.2412518156609006E-2</v>
      </c>
      <c r="J6" s="45">
        <f>+IFERROR(J5/I5-1,"nm")</f>
        <v>0</v>
      </c>
      <c r="K6" s="45">
        <f>+IFERROR(K5/J5-1,"nm")</f>
        <v>0</v>
      </c>
      <c r="L6" s="45">
        <f>+IFERROR(L5/K5-1,"nm")</f>
        <v>0</v>
      </c>
      <c r="M6" s="45">
        <f>+IFERROR(M5/L5-1,"nm")</f>
        <v>0</v>
      </c>
      <c r="N6" s="45">
        <f>+IFERROR(N5/M5-1,"nm")</f>
        <v>0</v>
      </c>
      <c r="O6" s="45"/>
      <c r="P6" s="45"/>
    </row>
    <row r="7" spans="1:16" x14ac:dyDescent="0.3">
      <c r="A7" s="43" t="s">
        <v>137</v>
      </c>
      <c r="B7" s="44">
        <f t="shared" ref="B7:I7" si="4">B5/B3</f>
        <v>0.15813208718669325</v>
      </c>
      <c r="C7" s="44">
        <f t="shared" si="4"/>
        <v>0.16342352359772672</v>
      </c>
      <c r="D7" s="44">
        <f t="shared" si="4"/>
        <v>0.16451237263464338</v>
      </c>
      <c r="E7" s="44">
        <f t="shared" si="4"/>
        <v>0.14083578316894249</v>
      </c>
      <c r="F7" s="44">
        <f t="shared" si="4"/>
        <v>0.14200986783240024</v>
      </c>
      <c r="G7" s="44">
        <f t="shared" si="4"/>
        <v>9.8842338849824879E-2</v>
      </c>
      <c r="H7" s="44">
        <f t="shared" si="4"/>
        <v>0.17214513449189456</v>
      </c>
      <c r="I7" s="44">
        <f t="shared" si="4"/>
        <v>0.16212802397773496</v>
      </c>
      <c r="J7" s="45">
        <f>+IFERROR(J5/J$3,"nm")</f>
        <v>0.16212802397773496</v>
      </c>
      <c r="K7" s="45">
        <f>+IFERROR(K5/K$3,"nm")</f>
        <v>0.16212802397773496</v>
      </c>
      <c r="L7" s="45">
        <f>+IFERROR(L5/L$3,"nm")</f>
        <v>0.16212802397773496</v>
      </c>
      <c r="M7" s="45">
        <f>+IFERROR(M5/M$3,"nm")</f>
        <v>0.16212802397773496</v>
      </c>
      <c r="N7" s="45">
        <f>+IFERROR(N5/N$3,"nm")</f>
        <v>0.16212802397773496</v>
      </c>
      <c r="O7" s="45"/>
      <c r="P7" s="45"/>
    </row>
    <row r="8" spans="1:16" x14ac:dyDescent="0.3">
      <c r="A8" s="11" t="s">
        <v>138</v>
      </c>
      <c r="B8" s="10">
        <f t="shared" ref="B8:N8" si="5">B38+B57+B88+B119+B150+B181+B200</f>
        <v>606</v>
      </c>
      <c r="C8" s="10">
        <f t="shared" si="5"/>
        <v>649</v>
      </c>
      <c r="D8" s="10">
        <f t="shared" si="5"/>
        <v>706</v>
      </c>
      <c r="E8" s="10">
        <f t="shared" si="5"/>
        <v>747</v>
      </c>
      <c r="F8" s="10">
        <f t="shared" si="5"/>
        <v>705</v>
      </c>
      <c r="G8" s="10">
        <f t="shared" si="5"/>
        <v>721</v>
      </c>
      <c r="H8" s="10">
        <f t="shared" si="5"/>
        <v>744</v>
      </c>
      <c r="I8" s="10">
        <f t="shared" si="5"/>
        <v>717</v>
      </c>
      <c r="J8" s="10">
        <f t="shared" si="5"/>
        <v>717</v>
      </c>
      <c r="K8" s="10">
        <f t="shared" si="5"/>
        <v>717</v>
      </c>
      <c r="L8" s="10">
        <f t="shared" si="5"/>
        <v>717</v>
      </c>
      <c r="M8" s="10">
        <f t="shared" si="5"/>
        <v>717</v>
      </c>
      <c r="N8" s="10">
        <f t="shared" si="5"/>
        <v>717</v>
      </c>
      <c r="O8" s="10"/>
      <c r="P8" s="10"/>
    </row>
    <row r="9" spans="1:16" x14ac:dyDescent="0.3">
      <c r="A9" s="43" t="s">
        <v>135</v>
      </c>
      <c r="B9" s="44">
        <f>(606-518)/606</f>
        <v>0.14521452145214522</v>
      </c>
      <c r="C9" s="44">
        <f t="shared" ref="C9:I9" si="6">(C8-B8)/C8</f>
        <v>6.6255778120184905E-2</v>
      </c>
      <c r="D9" s="44">
        <f t="shared" si="6"/>
        <v>8.0736543909348438E-2</v>
      </c>
      <c r="E9" s="44">
        <f t="shared" si="6"/>
        <v>5.4886211512717539E-2</v>
      </c>
      <c r="F9" s="44">
        <f t="shared" si="6"/>
        <v>-5.9574468085106386E-2</v>
      </c>
      <c r="G9" s="44">
        <f t="shared" si="6"/>
        <v>2.2191400832177532E-2</v>
      </c>
      <c r="H9" s="44">
        <f t="shared" si="6"/>
        <v>3.0913978494623656E-2</v>
      </c>
      <c r="I9" s="44">
        <f t="shared" si="6"/>
        <v>-3.7656903765690378E-2</v>
      </c>
      <c r="J9" s="45">
        <f>+IFERROR(J8/I8-1,"nm")</f>
        <v>0</v>
      </c>
      <c r="K9" s="45">
        <f>+IFERROR(K8/J8-1,"nm")</f>
        <v>0</v>
      </c>
      <c r="L9" s="45">
        <f>+IFERROR(L8/K8-1,"nm")</f>
        <v>0</v>
      </c>
      <c r="M9" s="45">
        <f>+IFERROR(M8/L8-1,"nm")</f>
        <v>0</v>
      </c>
      <c r="N9" s="45">
        <f>+IFERROR(N8/M8-1,"nm")</f>
        <v>0</v>
      </c>
      <c r="O9" s="45"/>
      <c r="P9" s="45"/>
    </row>
    <row r="10" spans="1:16" x14ac:dyDescent="0.3">
      <c r="A10" s="43" t="s">
        <v>139</v>
      </c>
      <c r="B10" s="44">
        <f t="shared" ref="B10:I10" si="7">B8/B3</f>
        <v>1.9803274402797295E-2</v>
      </c>
      <c r="C10" s="44">
        <f t="shared" si="7"/>
        <v>2.0045712873733631E-2</v>
      </c>
      <c r="D10" s="44">
        <f t="shared" si="7"/>
        <v>2.0553129548762736E-2</v>
      </c>
      <c r="E10" s="44">
        <f t="shared" si="7"/>
        <v>2.0523669533203285E-2</v>
      </c>
      <c r="F10" s="44">
        <f t="shared" si="7"/>
        <v>1.8022854513382928E-2</v>
      </c>
      <c r="G10" s="44">
        <f t="shared" si="7"/>
        <v>1.9276528620698875E-2</v>
      </c>
      <c r="H10" s="44">
        <f t="shared" si="7"/>
        <v>1.6704836319547355E-2</v>
      </c>
      <c r="I10" s="44">
        <f t="shared" si="7"/>
        <v>1.5350032113037893E-2</v>
      </c>
      <c r="J10" s="45">
        <f>+IFERROR(J8/J$3,"nm")</f>
        <v>1.5350032113037893E-2</v>
      </c>
      <c r="K10" s="45">
        <f>+IFERROR(K8/K$3,"nm")</f>
        <v>1.5350032113037893E-2</v>
      </c>
      <c r="L10" s="45">
        <f>+IFERROR(L8/L$3,"nm")</f>
        <v>1.5350032113037893E-2</v>
      </c>
      <c r="M10" s="45">
        <f>+IFERROR(M8/M$3,"nm")</f>
        <v>1.5350032113037893E-2</v>
      </c>
      <c r="N10" s="45">
        <f>+IFERROR(N8/N$3,"nm")</f>
        <v>1.5350032113037893E-2</v>
      </c>
      <c r="O10" s="45"/>
      <c r="P10" s="45"/>
    </row>
    <row r="11" spans="1:16" x14ac:dyDescent="0.3">
      <c r="A11" s="11" t="s">
        <v>140</v>
      </c>
      <c r="B11" s="10">
        <f t="shared" ref="B11:I11" si="8">B42+B61+B92+B123+B154+B185+B203</f>
        <v>4233</v>
      </c>
      <c r="C11" s="10">
        <f t="shared" si="8"/>
        <v>4642</v>
      </c>
      <c r="D11" s="10">
        <f t="shared" si="8"/>
        <v>4945</v>
      </c>
      <c r="E11" s="10">
        <f t="shared" si="8"/>
        <v>4379</v>
      </c>
      <c r="F11" s="10">
        <f t="shared" si="8"/>
        <v>4850</v>
      </c>
      <c r="G11" s="10">
        <f t="shared" si="8"/>
        <v>2976</v>
      </c>
      <c r="H11" s="10">
        <f t="shared" si="8"/>
        <v>6923</v>
      </c>
      <c r="I11" s="10">
        <f t="shared" si="8"/>
        <v>6856</v>
      </c>
      <c r="J11" s="10">
        <f>J5-J8</f>
        <v>6856</v>
      </c>
      <c r="K11" s="10">
        <f>K5-K8</f>
        <v>6856</v>
      </c>
      <c r="L11" s="10">
        <f>L5-L8</f>
        <v>6856</v>
      </c>
      <c r="M11" s="10">
        <f>M5-M8</f>
        <v>6856</v>
      </c>
      <c r="N11" s="10">
        <f>N5-N8</f>
        <v>6856</v>
      </c>
      <c r="O11" s="10"/>
      <c r="P11" s="10"/>
    </row>
    <row r="12" spans="1:16" x14ac:dyDescent="0.3">
      <c r="A12" s="43" t="s">
        <v>135</v>
      </c>
      <c r="B12" s="44">
        <f>(4233-3577)/4233</f>
        <v>0.15497283250649657</v>
      </c>
      <c r="C12" s="44">
        <f t="shared" ref="C12:I12" si="9">(C11-B11)/C11</f>
        <v>8.8108573890564409E-2</v>
      </c>
      <c r="D12" s="44">
        <f t="shared" si="9"/>
        <v>6.127401415571284E-2</v>
      </c>
      <c r="E12" s="44">
        <f t="shared" si="9"/>
        <v>-0.12925325416761818</v>
      </c>
      <c r="F12" s="44">
        <f t="shared" si="9"/>
        <v>9.7113402061855675E-2</v>
      </c>
      <c r="G12" s="44">
        <f t="shared" si="9"/>
        <v>-0.62970430107526887</v>
      </c>
      <c r="H12" s="44">
        <f t="shared" si="9"/>
        <v>0.57012855698396647</v>
      </c>
      <c r="I12" s="44">
        <f t="shared" si="9"/>
        <v>-9.7724620770128362E-3</v>
      </c>
      <c r="J12" s="45">
        <f>+IFERROR(J11/I11-1,"nm")</f>
        <v>0</v>
      </c>
      <c r="K12" s="45">
        <f>+IFERROR(K11/J11-1,"nm")</f>
        <v>0</v>
      </c>
      <c r="L12" s="45">
        <f>+IFERROR(L11/K11-1,"nm")</f>
        <v>0</v>
      </c>
      <c r="M12" s="45">
        <f>+IFERROR(M11/L11-1,"nm")</f>
        <v>0</v>
      </c>
      <c r="N12" s="45">
        <f>+IFERROR(N11/M11-1,"nm")</f>
        <v>0</v>
      </c>
      <c r="O12" s="45"/>
      <c r="P12" s="45"/>
    </row>
    <row r="13" spans="1:16" x14ac:dyDescent="0.3">
      <c r="A13" s="43" t="s">
        <v>137</v>
      </c>
      <c r="B13" s="44">
        <f t="shared" ref="B13:I13" si="10">B11/B3</f>
        <v>0.13832881278389594</v>
      </c>
      <c r="C13" s="44">
        <f t="shared" si="10"/>
        <v>0.14337781072399308</v>
      </c>
      <c r="D13" s="44">
        <f t="shared" si="10"/>
        <v>0.14395924308588065</v>
      </c>
      <c r="E13" s="44">
        <f t="shared" si="10"/>
        <v>0.12031211363573921</v>
      </c>
      <c r="F13" s="44">
        <f t="shared" si="10"/>
        <v>0.12398701331901731</v>
      </c>
      <c r="G13" s="44">
        <f t="shared" si="10"/>
        <v>7.9565810229126011E-2</v>
      </c>
      <c r="H13" s="44">
        <f t="shared" si="10"/>
        <v>0.1554402981723472</v>
      </c>
      <c r="I13" s="44">
        <f t="shared" si="10"/>
        <v>0.14677799186469706</v>
      </c>
      <c r="J13" s="45">
        <f>+IFERROR(J11/J$3,"nm")</f>
        <v>0.14677799186469706</v>
      </c>
      <c r="K13" s="45">
        <f>+IFERROR(K11/K$3,"nm")</f>
        <v>0.14677799186469706</v>
      </c>
      <c r="L13" s="45">
        <f>+IFERROR(L11/L$3,"nm")</f>
        <v>0.14677799186469706</v>
      </c>
      <c r="M13" s="45">
        <f>+IFERROR(M11/M$3,"nm")</f>
        <v>0.14677799186469706</v>
      </c>
      <c r="N13" s="45">
        <f>+IFERROR(N11/N$3,"nm")</f>
        <v>0.14677799186469706</v>
      </c>
      <c r="O13" s="45"/>
      <c r="P13" s="45"/>
    </row>
    <row r="14" spans="1:16" x14ac:dyDescent="0.3">
      <c r="A14" s="11" t="s">
        <v>141</v>
      </c>
      <c r="B14" s="46">
        <f t="shared" ref="B14:N14" si="11">B45+B64+B95+B126+B157+B188+B206</f>
        <v>1003</v>
      </c>
      <c r="C14" s="46">
        <f t="shared" si="11"/>
        <v>1193</v>
      </c>
      <c r="D14" s="46">
        <f t="shared" si="11"/>
        <v>1201</v>
      </c>
      <c r="E14" s="46">
        <f t="shared" si="11"/>
        <v>1194</v>
      </c>
      <c r="F14" s="46">
        <f t="shared" si="11"/>
        <v>1075</v>
      </c>
      <c r="G14" s="46">
        <f t="shared" si="11"/>
        <v>1124</v>
      </c>
      <c r="H14" s="46">
        <f t="shared" si="11"/>
        <v>791</v>
      </c>
      <c r="I14" s="46">
        <f t="shared" si="11"/>
        <v>811</v>
      </c>
      <c r="J14" s="46">
        <f t="shared" si="11"/>
        <v>811</v>
      </c>
      <c r="K14" s="46">
        <f t="shared" si="11"/>
        <v>811</v>
      </c>
      <c r="L14" s="46">
        <f t="shared" si="11"/>
        <v>811</v>
      </c>
      <c r="M14" s="46">
        <f t="shared" si="11"/>
        <v>811</v>
      </c>
      <c r="N14" s="46">
        <f t="shared" si="11"/>
        <v>811</v>
      </c>
      <c r="O14" s="46"/>
      <c r="P14" s="46"/>
    </row>
    <row r="15" spans="1:16" x14ac:dyDescent="0.3">
      <c r="A15" s="43" t="s">
        <v>135</v>
      </c>
      <c r="B15" s="44">
        <f>(3011-2834)/3011</f>
        <v>5.878445699103288E-2</v>
      </c>
      <c r="C15" s="44">
        <f t="shared" ref="C15:I15" si="12">(C14-B14)/C14</f>
        <v>0.15926236378876782</v>
      </c>
      <c r="D15" s="44">
        <f t="shared" si="12"/>
        <v>6.6611157368859286E-3</v>
      </c>
      <c r="E15" s="44">
        <f t="shared" si="12"/>
        <v>-5.8626465661641538E-3</v>
      </c>
      <c r="F15" s="44">
        <f t="shared" si="12"/>
        <v>-0.11069767441860465</v>
      </c>
      <c r="G15" s="44">
        <f t="shared" si="12"/>
        <v>4.3594306049822062E-2</v>
      </c>
      <c r="H15" s="44">
        <f t="shared" si="12"/>
        <v>-0.42098609355246525</v>
      </c>
      <c r="I15" s="44">
        <f t="shared" si="12"/>
        <v>2.4660912453760789E-2</v>
      </c>
      <c r="J15" s="45">
        <f>+IFERROR(J14/I14-1,"nm")</f>
        <v>0</v>
      </c>
      <c r="K15" s="45">
        <f>+IFERROR(K14/J14-1,"nm")</f>
        <v>0</v>
      </c>
      <c r="L15" s="45">
        <f>+IFERROR(L14/K14-1,"nm")</f>
        <v>0</v>
      </c>
      <c r="M15" s="45">
        <f>+IFERROR(M14/L14-1,"nm")</f>
        <v>0</v>
      </c>
      <c r="N15" s="45">
        <f>+IFERROR(N14/M14-1,"nm")</f>
        <v>0</v>
      </c>
      <c r="O15" s="45"/>
      <c r="P15" s="45"/>
    </row>
    <row r="16" spans="1:16" x14ac:dyDescent="0.3">
      <c r="A16" s="43" t="s">
        <v>139</v>
      </c>
      <c r="B16" s="44">
        <f t="shared" ref="B16:I16" si="13">B14/B3</f>
        <v>3.2776706643573739E-2</v>
      </c>
      <c r="C16" s="44">
        <f t="shared" si="13"/>
        <v>3.6848282678527307E-2</v>
      </c>
      <c r="D16" s="44">
        <f t="shared" si="13"/>
        <v>3.4963609898107713E-2</v>
      </c>
      <c r="E16" s="44">
        <f t="shared" si="13"/>
        <v>3.2804901502871117E-2</v>
      </c>
      <c r="F16" s="44">
        <f t="shared" si="13"/>
        <v>2.7481657591328579E-2</v>
      </c>
      <c r="G16" s="44">
        <f t="shared" si="13"/>
        <v>3.0051065422559687E-2</v>
      </c>
      <c r="H16" s="44">
        <f t="shared" si="13"/>
        <v>1.7760114958013381E-2</v>
      </c>
      <c r="I16" s="44">
        <f t="shared" si="13"/>
        <v>1.7362449154356668E-2</v>
      </c>
      <c r="J16" s="45">
        <f>+IFERROR(J14/J$3,"nm")</f>
        <v>1.7362449154356668E-2</v>
      </c>
      <c r="K16" s="45">
        <f>+IFERROR(K14/K$3,"nm")</f>
        <v>1.7362449154356668E-2</v>
      </c>
      <c r="L16" s="45">
        <f>+IFERROR(L14/L$3,"nm")</f>
        <v>1.7362449154356668E-2</v>
      </c>
      <c r="M16" s="45">
        <f>+IFERROR(M14/M$3,"nm")</f>
        <v>1.7362449154356668E-2</v>
      </c>
      <c r="N16" s="45">
        <f>+IFERROR(N14/N$3,"nm")</f>
        <v>1.7362449154356668E-2</v>
      </c>
      <c r="O16" s="45"/>
      <c r="P16" s="45"/>
    </row>
    <row r="17" spans="1:16" x14ac:dyDescent="0.3">
      <c r="A17" s="11" t="s">
        <v>142</v>
      </c>
      <c r="B17" s="46">
        <f t="shared" ref="B17:N17" si="14">B48+B67+B98+B129+B160+B191+B209</f>
        <v>3011</v>
      </c>
      <c r="C17" s="46">
        <f t="shared" si="14"/>
        <v>3520</v>
      </c>
      <c r="D17" s="46">
        <f t="shared" si="14"/>
        <v>3989</v>
      </c>
      <c r="E17" s="46">
        <f t="shared" si="14"/>
        <v>4454</v>
      </c>
      <c r="F17" s="46">
        <f t="shared" si="14"/>
        <v>4744</v>
      </c>
      <c r="G17" s="46">
        <f t="shared" si="14"/>
        <v>4866</v>
      </c>
      <c r="H17" s="46">
        <f t="shared" si="14"/>
        <v>4904</v>
      </c>
      <c r="I17" s="46">
        <f t="shared" si="14"/>
        <v>4791</v>
      </c>
      <c r="J17" s="46">
        <f t="shared" si="14"/>
        <v>4791</v>
      </c>
      <c r="K17" s="46">
        <f t="shared" si="14"/>
        <v>4791</v>
      </c>
      <c r="L17" s="46">
        <f t="shared" si="14"/>
        <v>4791</v>
      </c>
      <c r="M17" s="46">
        <f t="shared" si="14"/>
        <v>4791</v>
      </c>
      <c r="N17" s="46">
        <f t="shared" si="14"/>
        <v>4791</v>
      </c>
      <c r="O17" s="46"/>
      <c r="P17" s="46"/>
    </row>
    <row r="18" spans="1:16" x14ac:dyDescent="0.3">
      <c r="A18" s="43" t="s">
        <v>135</v>
      </c>
      <c r="B18" s="45" t="str">
        <f t="shared" ref="B18:N18" si="15">+IFERROR(B17/A17-1,"nm")</f>
        <v>nm</v>
      </c>
      <c r="C18" s="45">
        <f t="shared" si="15"/>
        <v>0.16904682829624718</v>
      </c>
      <c r="D18" s="45">
        <f t="shared" si="15"/>
        <v>0.13323863636363642</v>
      </c>
      <c r="E18" s="45">
        <f t="shared" si="15"/>
        <v>0.11657056906492858</v>
      </c>
      <c r="F18" s="45">
        <f t="shared" si="15"/>
        <v>6.5110013471037176E-2</v>
      </c>
      <c r="G18" s="45">
        <f t="shared" si="15"/>
        <v>2.5716694772343951E-2</v>
      </c>
      <c r="H18" s="45">
        <f t="shared" si="15"/>
        <v>7.8092889436909285E-3</v>
      </c>
      <c r="I18" s="45">
        <f t="shared" si="15"/>
        <v>-2.3042414355628038E-2</v>
      </c>
      <c r="J18" s="45">
        <f t="shared" si="15"/>
        <v>0</v>
      </c>
      <c r="K18" s="45">
        <f t="shared" si="15"/>
        <v>0</v>
      </c>
      <c r="L18" s="45">
        <f t="shared" si="15"/>
        <v>0</v>
      </c>
      <c r="M18" s="45">
        <f t="shared" si="15"/>
        <v>0</v>
      </c>
      <c r="N18" s="45">
        <f t="shared" si="15"/>
        <v>0</v>
      </c>
      <c r="O18" s="45"/>
      <c r="P18" s="45"/>
    </row>
    <row r="19" spans="1:16" x14ac:dyDescent="0.3">
      <c r="A19" s="43" t="s">
        <v>139</v>
      </c>
      <c r="B19" s="45">
        <f t="shared" ref="B19:N19" si="16">+IFERROR(B17/B$3,"nm")</f>
        <v>9.8395477271984569E-2</v>
      </c>
      <c r="C19" s="45">
        <f t="shared" si="16"/>
        <v>0.10872251050160613</v>
      </c>
      <c r="D19" s="45">
        <f t="shared" si="16"/>
        <v>0.11612809315866085</v>
      </c>
      <c r="E19" s="45">
        <f t="shared" si="16"/>
        <v>0.12237272302662307</v>
      </c>
      <c r="F19" s="45">
        <f t="shared" si="16"/>
        <v>0.1212771940588491</v>
      </c>
      <c r="G19" s="45">
        <f t="shared" si="16"/>
        <v>0.13009651632222013</v>
      </c>
      <c r="H19" s="45">
        <f t="shared" si="16"/>
        <v>0.11010822219228523</v>
      </c>
      <c r="I19" s="45">
        <f t="shared" si="16"/>
        <v>0.10256904303147078</v>
      </c>
      <c r="J19" s="45">
        <f t="shared" si="16"/>
        <v>0.10256904303147078</v>
      </c>
      <c r="K19" s="45">
        <f t="shared" si="16"/>
        <v>0.10256904303147078</v>
      </c>
      <c r="L19" s="45">
        <f t="shared" si="16"/>
        <v>0.10256904303147078</v>
      </c>
      <c r="M19" s="45">
        <f t="shared" si="16"/>
        <v>0.10256904303147078</v>
      </c>
      <c r="N19" s="45">
        <f t="shared" si="16"/>
        <v>0.10256904303147078</v>
      </c>
      <c r="O19" s="45"/>
      <c r="P19" s="45"/>
    </row>
    <row r="20" spans="1:16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  <c r="O20" s="41"/>
      <c r="P20" s="41"/>
    </row>
    <row r="21" spans="1:16" x14ac:dyDescent="0.3">
      <c r="A21" s="11" t="s">
        <v>143</v>
      </c>
      <c r="B21" s="11">
        <f>+Historicals!B107</f>
        <v>13740</v>
      </c>
      <c r="C21" s="11">
        <f>+Historicals!C107</f>
        <v>14764</v>
      </c>
      <c r="D21" s="11">
        <f>+Historicals!D107</f>
        <v>15216</v>
      </c>
      <c r="E21" s="11">
        <f>+Historicals!E107</f>
        <v>14855</v>
      </c>
      <c r="F21" s="11">
        <f>+Historicals!F107</f>
        <v>15902</v>
      </c>
      <c r="G21" s="11">
        <f>+Historicals!G107</f>
        <v>14484</v>
      </c>
      <c r="H21" s="11">
        <f>+Historicals!H107</f>
        <v>17179</v>
      </c>
      <c r="I21" s="11">
        <f>+Historicals!I107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  <c r="O21" s="11"/>
      <c r="P21" s="11"/>
    </row>
    <row r="22" spans="1:16" x14ac:dyDescent="0.3">
      <c r="A22" s="48" t="s">
        <v>135</v>
      </c>
      <c r="B22" s="45" t="str">
        <f t="shared" ref="B22:N22" si="17">+IFERROR(B21/A21-1,"nm")</f>
        <v>nm</v>
      </c>
      <c r="C22" s="45">
        <f t="shared" si="17"/>
        <v>7.4526928675400228E-2</v>
      </c>
      <c r="D22" s="45">
        <f t="shared" si="17"/>
        <v>3.0615009482525046E-2</v>
      </c>
      <c r="E22" s="45">
        <f t="shared" si="17"/>
        <v>-2.372502628811779E-2</v>
      </c>
      <c r="F22" s="45">
        <f t="shared" si="17"/>
        <v>7.0481319421070276E-2</v>
      </c>
      <c r="G22" s="45">
        <f t="shared" si="17"/>
        <v>-8.9171173437303519E-2</v>
      </c>
      <c r="H22" s="45">
        <f t="shared" si="17"/>
        <v>0.18606738470035911</v>
      </c>
      <c r="I22" s="45">
        <f t="shared" si="17"/>
        <v>6.8339251411607238E-2</v>
      </c>
      <c r="J22" s="45">
        <f t="shared" si="17"/>
        <v>0</v>
      </c>
      <c r="K22" s="45">
        <f t="shared" si="17"/>
        <v>0</v>
      </c>
      <c r="L22" s="45">
        <f t="shared" si="17"/>
        <v>0</v>
      </c>
      <c r="M22" s="45">
        <f t="shared" si="17"/>
        <v>0</v>
      </c>
      <c r="N22" s="45">
        <f t="shared" si="17"/>
        <v>0</v>
      </c>
      <c r="O22" s="45"/>
      <c r="P22" s="45"/>
    </row>
    <row r="23" spans="1:16" x14ac:dyDescent="0.3">
      <c r="A23" s="49" t="s">
        <v>108</v>
      </c>
      <c r="B23" s="7">
        <f>+Historicals!B108</f>
        <v>8506</v>
      </c>
      <c r="C23" s="7">
        <f>+Historicals!C108</f>
        <v>9299</v>
      </c>
      <c r="D23" s="7">
        <f>+Historicals!D108</f>
        <v>9684</v>
      </c>
      <c r="E23" s="7">
        <f>+Historicals!E108</f>
        <v>9322</v>
      </c>
      <c r="F23" s="7">
        <f>+Historicals!F108</f>
        <v>10045</v>
      </c>
      <c r="G23" s="7">
        <f>+Historicals!G108</f>
        <v>9329</v>
      </c>
      <c r="H23" s="7">
        <f>+Historicals!H108</f>
        <v>11644</v>
      </c>
      <c r="I23" s="7">
        <f>+Historicals!I108</f>
        <v>12228</v>
      </c>
      <c r="J23" s="7">
        <f>+I23*(1+J24)</f>
        <v>12228</v>
      </c>
      <c r="K23" s="7">
        <f>+J23*(1+K24)</f>
        <v>12228</v>
      </c>
      <c r="L23" s="7">
        <f>+K23*(1+L24)</f>
        <v>12228</v>
      </c>
      <c r="M23" s="7">
        <f>+L23*(1+M24)</f>
        <v>12228</v>
      </c>
      <c r="N23" s="7">
        <f>+M23*(1+N24)</f>
        <v>12228</v>
      </c>
      <c r="O23" s="7"/>
      <c r="P23" s="7"/>
    </row>
    <row r="24" spans="1:16" x14ac:dyDescent="0.3">
      <c r="A24" s="48" t="s">
        <v>135</v>
      </c>
      <c r="B24" s="45" t="str">
        <f t="shared" ref="B24:I24" si="18">+IFERROR(B23/A23-1,"nm")</f>
        <v>nm</v>
      </c>
      <c r="C24" s="45">
        <f t="shared" si="18"/>
        <v>9.3228309428638578E-2</v>
      </c>
      <c r="D24" s="45">
        <f t="shared" si="18"/>
        <v>4.1402301322722934E-2</v>
      </c>
      <c r="E24" s="45">
        <f t="shared" si="18"/>
        <v>-3.7381247418422192E-2</v>
      </c>
      <c r="F24" s="45">
        <f t="shared" si="18"/>
        <v>7.755846384895948E-2</v>
      </c>
      <c r="G24" s="45">
        <f t="shared" si="18"/>
        <v>-7.1279243404678949E-2</v>
      </c>
      <c r="H24" s="45">
        <f t="shared" si="18"/>
        <v>0.24815092721620746</v>
      </c>
      <c r="I24" s="45">
        <f t="shared" si="18"/>
        <v>5.0154586052902683E-2</v>
      </c>
      <c r="J24" s="45">
        <f>+J25+J26</f>
        <v>0</v>
      </c>
      <c r="K24" s="45">
        <f>+K25+K26</f>
        <v>0</v>
      </c>
      <c r="L24" s="45">
        <f>+L25+L26</f>
        <v>0</v>
      </c>
      <c r="M24" s="45">
        <f>+M25+M26</f>
        <v>0</v>
      </c>
      <c r="N24" s="45">
        <f>+N25+N26</f>
        <v>0</v>
      </c>
      <c r="O24" s="45"/>
      <c r="P24" s="45"/>
    </row>
    <row r="25" spans="1:16" x14ac:dyDescent="0.3">
      <c r="A25" s="48" t="s">
        <v>144</v>
      </c>
      <c r="B25" s="45">
        <f>+Historicals!B180</f>
        <v>0.13488992661774515</v>
      </c>
      <c r="C25" s="45">
        <f>+Historicals!C180</f>
        <v>9.3228309428638606E-2</v>
      </c>
      <c r="D25" s="45">
        <f>+Historicals!D180</f>
        <v>4.1402301322722872E-2</v>
      </c>
      <c r="E25" s="45">
        <f>+Historicals!E180</f>
        <v>-3.7381247418422137E-2</v>
      </c>
      <c r="F25" s="45">
        <f>+Historicals!F180</f>
        <v>7.7558463848959452E-2</v>
      </c>
      <c r="G25" s="45">
        <f>+Historicals!G180</f>
        <v>-7.1279243404678949E-2</v>
      </c>
      <c r="H25" s="45">
        <f>+Historicals!H180</f>
        <v>0.24815092721620752</v>
      </c>
      <c r="I25" s="45">
        <f>+Historicals!I180</f>
        <v>0.05</v>
      </c>
      <c r="J25" s="50">
        <v>0</v>
      </c>
      <c r="K25" s="50">
        <f t="shared" ref="K25:N26" si="19">+J25</f>
        <v>0</v>
      </c>
      <c r="L25" s="50">
        <f t="shared" si="19"/>
        <v>0</v>
      </c>
      <c r="M25" s="50">
        <f t="shared" si="19"/>
        <v>0</v>
      </c>
      <c r="N25" s="50">
        <f t="shared" si="19"/>
        <v>0</v>
      </c>
      <c r="O25" s="50"/>
      <c r="P25" s="50"/>
    </row>
    <row r="26" spans="1:16" x14ac:dyDescent="0.3">
      <c r="A26" s="48" t="s">
        <v>145</v>
      </c>
      <c r="B26" s="45" t="str">
        <f t="shared" ref="B26:I26" si="20">+IFERROR(B24-B25,"nm")</f>
        <v>nm</v>
      </c>
      <c r="C26" s="45">
        <f t="shared" si="20"/>
        <v>-2.7755575615628914E-17</v>
      </c>
      <c r="D26" s="45">
        <f t="shared" si="20"/>
        <v>6.2450045135165055E-17</v>
      </c>
      <c r="E26" s="45">
        <f t="shared" si="20"/>
        <v>-5.5511151231257827E-17</v>
      </c>
      <c r="F26" s="45">
        <f t="shared" si="20"/>
        <v>2.7755575615628914E-17</v>
      </c>
      <c r="G26" s="45">
        <f t="shared" si="20"/>
        <v>0</v>
      </c>
      <c r="H26" s="45">
        <f t="shared" si="20"/>
        <v>-5.5511151231257827E-17</v>
      </c>
      <c r="I26" s="45">
        <f t="shared" si="20"/>
        <v>1.5458605290268046E-4</v>
      </c>
      <c r="J26" s="50">
        <v>0</v>
      </c>
      <c r="K26" s="50">
        <f t="shared" si="19"/>
        <v>0</v>
      </c>
      <c r="L26" s="50">
        <f t="shared" si="19"/>
        <v>0</v>
      </c>
      <c r="M26" s="50">
        <f t="shared" si="19"/>
        <v>0</v>
      </c>
      <c r="N26" s="50">
        <f t="shared" si="19"/>
        <v>0</v>
      </c>
      <c r="O26" s="50"/>
      <c r="P26" s="50"/>
    </row>
    <row r="27" spans="1:16" x14ac:dyDescent="0.3">
      <c r="A27" s="49" t="s">
        <v>109</v>
      </c>
      <c r="B27" s="7">
        <f>+Historicals!B109</f>
        <v>4410</v>
      </c>
      <c r="C27" s="7">
        <f>+Historicals!C109</f>
        <v>4746</v>
      </c>
      <c r="D27" s="7">
        <f>+Historicals!D109</f>
        <v>4886</v>
      </c>
      <c r="E27" s="7">
        <f>+Historicals!E109</f>
        <v>4938</v>
      </c>
      <c r="F27" s="7">
        <f>+Historicals!F109</f>
        <v>5260</v>
      </c>
      <c r="G27" s="7">
        <f>+Historicals!G109</f>
        <v>4639</v>
      </c>
      <c r="H27" s="7">
        <f>+Historicals!H109</f>
        <v>5028</v>
      </c>
      <c r="I27" s="7">
        <f>+Historicals!I109</f>
        <v>5492</v>
      </c>
      <c r="J27" s="7">
        <f>+I27*(1+J28)</f>
        <v>5492</v>
      </c>
      <c r="K27" s="7">
        <f>+J27*(1+K28)</f>
        <v>5492</v>
      </c>
      <c r="L27" s="7">
        <f>+K27*(1+L28)</f>
        <v>5492</v>
      </c>
      <c r="M27" s="7">
        <f>+L27*(1+M28)</f>
        <v>5492</v>
      </c>
      <c r="N27" s="7">
        <f>+M27*(1+N28)</f>
        <v>5492</v>
      </c>
      <c r="O27" s="7"/>
      <c r="P27" s="7"/>
    </row>
    <row r="28" spans="1:16" x14ac:dyDescent="0.3">
      <c r="A28" s="48" t="s">
        <v>135</v>
      </c>
      <c r="B28" s="45" t="str">
        <f t="shared" ref="B28:I28" si="21">+IFERROR(B27/A27-1,"nm")</f>
        <v>nm</v>
      </c>
      <c r="C28" s="45">
        <f t="shared" si="21"/>
        <v>7.6190476190476142E-2</v>
      </c>
      <c r="D28" s="45">
        <f t="shared" si="21"/>
        <v>2.9498525073746285E-2</v>
      </c>
      <c r="E28" s="45">
        <f t="shared" si="21"/>
        <v>1.0642652476463343E-2</v>
      </c>
      <c r="F28" s="45">
        <f t="shared" si="21"/>
        <v>6.5208586472256025E-2</v>
      </c>
      <c r="G28" s="45">
        <f t="shared" si="21"/>
        <v>-0.11806083650190113</v>
      </c>
      <c r="H28" s="45">
        <f t="shared" si="21"/>
        <v>8.3854278939426541E-2</v>
      </c>
      <c r="I28" s="45">
        <f t="shared" si="21"/>
        <v>9.2283214001591007E-2</v>
      </c>
      <c r="J28" s="45">
        <f>+J29+J30</f>
        <v>0</v>
      </c>
      <c r="K28" s="45">
        <f>+K29+K30</f>
        <v>0</v>
      </c>
      <c r="L28" s="45">
        <f>+L29+L30</f>
        <v>0</v>
      </c>
      <c r="M28" s="45">
        <f>+M29+M30</f>
        <v>0</v>
      </c>
      <c r="N28" s="45">
        <f>+N29+N30</f>
        <v>0</v>
      </c>
      <c r="O28" s="45"/>
      <c r="P28" s="45"/>
    </row>
    <row r="29" spans="1:16" x14ac:dyDescent="0.3">
      <c r="A29" s="48" t="s">
        <v>144</v>
      </c>
      <c r="B29" s="45">
        <f>+Historicals!B184</f>
        <v>0.15780403741999016</v>
      </c>
      <c r="C29" s="45">
        <f>+Historicals!C184</f>
        <v>7.2294280246651077E-2</v>
      </c>
      <c r="D29" s="45">
        <f>+Historicals!D184</f>
        <v>2.9545905215149711E-2</v>
      </c>
      <c r="E29" s="45">
        <f>+Historicals!E184</f>
        <v>0.13154853620955315</v>
      </c>
      <c r="F29" s="45">
        <f>+Historicals!F184</f>
        <v>7.114893617021277E-2</v>
      </c>
      <c r="G29" s="45">
        <f>+Historicals!G184</f>
        <v>-6.3721595423486418E-2</v>
      </c>
      <c r="H29" s="45">
        <f>+Historicals!H184</f>
        <v>0.18295994568906992</v>
      </c>
      <c r="I29" s="45">
        <f>+Historicals!I184</f>
        <v>0.09</v>
      </c>
      <c r="J29" s="50">
        <v>0</v>
      </c>
      <c r="K29" s="50">
        <f t="shared" ref="K29:N30" si="22">+J29</f>
        <v>0</v>
      </c>
      <c r="L29" s="50">
        <f t="shared" si="22"/>
        <v>0</v>
      </c>
      <c r="M29" s="50">
        <f t="shared" si="22"/>
        <v>0</v>
      </c>
      <c r="N29" s="50">
        <f t="shared" si="22"/>
        <v>0</v>
      </c>
      <c r="O29" s="50"/>
      <c r="P29" s="50"/>
    </row>
    <row r="30" spans="1:16" x14ac:dyDescent="0.3">
      <c r="A30" s="48" t="s">
        <v>145</v>
      </c>
      <c r="B30" s="45" t="str">
        <f t="shared" ref="B30:I30" si="23">+IFERROR(B28-B29,"nm")</f>
        <v>nm</v>
      </c>
      <c r="C30" s="45">
        <f t="shared" si="23"/>
        <v>3.8961959438250648E-3</v>
      </c>
      <c r="D30" s="45">
        <f t="shared" si="23"/>
        <v>-4.7380141403426806E-5</v>
      </c>
      <c r="E30" s="45">
        <f t="shared" si="23"/>
        <v>-0.1209058837330898</v>
      </c>
      <c r="F30" s="45">
        <f t="shared" si="23"/>
        <v>-5.9403496979567455E-3</v>
      </c>
      <c r="G30" s="45">
        <f t="shared" si="23"/>
        <v>-5.4339241078414716E-2</v>
      </c>
      <c r="H30" s="45">
        <f t="shared" si="23"/>
        <v>-9.9105666749643384E-2</v>
      </c>
      <c r="I30" s="45">
        <f t="shared" si="23"/>
        <v>2.2832140015910107E-3</v>
      </c>
      <c r="J30" s="50">
        <v>0</v>
      </c>
      <c r="K30" s="50">
        <f t="shared" si="22"/>
        <v>0</v>
      </c>
      <c r="L30" s="50">
        <f t="shared" si="22"/>
        <v>0</v>
      </c>
      <c r="M30" s="50">
        <f t="shared" si="22"/>
        <v>0</v>
      </c>
      <c r="N30" s="50">
        <f t="shared" si="22"/>
        <v>0</v>
      </c>
      <c r="O30" s="50"/>
      <c r="P30" s="50"/>
    </row>
    <row r="31" spans="1:16" x14ac:dyDescent="0.3">
      <c r="A31" s="49" t="s">
        <v>110</v>
      </c>
      <c r="B31" s="7">
        <f>+Historicals!B110</f>
        <v>824</v>
      </c>
      <c r="C31" s="7">
        <f>+Historicals!C110</f>
        <v>719</v>
      </c>
      <c r="D31" s="7">
        <f>+Historicals!D110</f>
        <v>646</v>
      </c>
      <c r="E31" s="7">
        <f>+Historicals!E110</f>
        <v>595</v>
      </c>
      <c r="F31" s="7">
        <f>+Historicals!F110</f>
        <v>597</v>
      </c>
      <c r="G31" s="7">
        <f>+Historicals!G110</f>
        <v>516</v>
      </c>
      <c r="H31" s="7">
        <f>+Historicals!H110</f>
        <v>507</v>
      </c>
      <c r="I31" s="7">
        <f>+Historicals!I110</f>
        <v>633</v>
      </c>
      <c r="J31" s="7">
        <f>+I31*(1+J32)</f>
        <v>633</v>
      </c>
      <c r="K31" s="7">
        <f>+J31*(1+K32)</f>
        <v>633</v>
      </c>
      <c r="L31" s="7">
        <f>+K31*(1+L32)</f>
        <v>633</v>
      </c>
      <c r="M31" s="7">
        <f>+L31*(1+M32)</f>
        <v>633</v>
      </c>
      <c r="N31" s="7">
        <f>+M31*(1+N32)</f>
        <v>633</v>
      </c>
      <c r="O31" s="7"/>
      <c r="P31" s="7"/>
    </row>
    <row r="32" spans="1:16" x14ac:dyDescent="0.3">
      <c r="A32" s="48" t="s">
        <v>135</v>
      </c>
      <c r="B32" s="45" t="str">
        <f t="shared" ref="B32:I32" si="24">+IFERROR(B31/A31-1,"nm")</f>
        <v>nm</v>
      </c>
      <c r="C32" s="45">
        <f t="shared" si="24"/>
        <v>-0.12742718446601942</v>
      </c>
      <c r="D32" s="45">
        <f t="shared" si="24"/>
        <v>-0.10152990264255912</v>
      </c>
      <c r="E32" s="45">
        <f t="shared" si="24"/>
        <v>-7.8947368421052655E-2</v>
      </c>
      <c r="F32" s="45">
        <f t="shared" si="24"/>
        <v>3.3613445378151141E-3</v>
      </c>
      <c r="G32" s="45">
        <f t="shared" si="24"/>
        <v>-0.13567839195979903</v>
      </c>
      <c r="H32" s="45">
        <f t="shared" si="24"/>
        <v>-1.744186046511631E-2</v>
      </c>
      <c r="I32" s="45">
        <f t="shared" si="24"/>
        <v>0.24852071005917153</v>
      </c>
      <c r="J32" s="45">
        <f>+J33+J34</f>
        <v>0</v>
      </c>
      <c r="K32" s="45">
        <f>+K33+K34</f>
        <v>0</v>
      </c>
      <c r="L32" s="45">
        <f>+L33+L34</f>
        <v>0</v>
      </c>
      <c r="M32" s="45">
        <f>+M33+M34</f>
        <v>0</v>
      </c>
      <c r="N32" s="45">
        <f>+N33+N34</f>
        <v>0</v>
      </c>
      <c r="O32" s="45"/>
      <c r="P32" s="45"/>
    </row>
    <row r="33" spans="1:16" x14ac:dyDescent="0.3">
      <c r="A33" s="48" t="s">
        <v>144</v>
      </c>
      <c r="B33" s="45">
        <f>+Historicals!B182</f>
        <v>-4.9596309111880045E-2</v>
      </c>
      <c r="C33" s="45">
        <f>+Historicals!C182</f>
        <v>-0.12742718446601942</v>
      </c>
      <c r="D33" s="45">
        <f>+Historicals!D182</f>
        <v>-0.10152990264255911</v>
      </c>
      <c r="E33" s="45">
        <f>+Historicals!E182</f>
        <v>-7.8947368421052627E-2</v>
      </c>
      <c r="F33" s="45">
        <f>+Historicals!F182</f>
        <v>3.3613445378151263E-3</v>
      </c>
      <c r="G33" s="45">
        <f>+Historicals!G182</f>
        <v>-0.135678391959799</v>
      </c>
      <c r="H33" s="45">
        <f>+Historicals!H182</f>
        <v>-1.7441860465116279E-2</v>
      </c>
      <c r="I33" s="45">
        <f>+Historicals!I182</f>
        <v>0.25</v>
      </c>
      <c r="J33" s="50">
        <v>0</v>
      </c>
      <c r="K33" s="50">
        <f t="shared" ref="K33:N34" si="25">+J33</f>
        <v>0</v>
      </c>
      <c r="L33" s="50">
        <f t="shared" si="25"/>
        <v>0</v>
      </c>
      <c r="M33" s="50">
        <f t="shared" si="25"/>
        <v>0</v>
      </c>
      <c r="N33" s="50">
        <f t="shared" si="25"/>
        <v>0</v>
      </c>
      <c r="O33" s="50"/>
      <c r="P33" s="50"/>
    </row>
    <row r="34" spans="1:16" x14ac:dyDescent="0.3">
      <c r="A34" s="48" t="s">
        <v>145</v>
      </c>
      <c r="B34" s="45" t="str">
        <f t="shared" ref="B34:I34" si="26">+IFERROR(B32-B33,"nm")</f>
        <v>nm</v>
      </c>
      <c r="C34" s="45">
        <f t="shared" si="26"/>
        <v>0</v>
      </c>
      <c r="D34" s="45">
        <f t="shared" si="26"/>
        <v>-1.3877787807814457E-17</v>
      </c>
      <c r="E34" s="45">
        <f t="shared" si="26"/>
        <v>-2.7755575615628914E-17</v>
      </c>
      <c r="F34" s="45">
        <f t="shared" si="26"/>
        <v>-1.214306433183765E-17</v>
      </c>
      <c r="G34" s="45">
        <f t="shared" si="26"/>
        <v>-2.7755575615628914E-17</v>
      </c>
      <c r="H34" s="45">
        <f t="shared" si="26"/>
        <v>-3.1225022567582528E-17</v>
      </c>
      <c r="I34" s="45">
        <f t="shared" si="26"/>
        <v>-1.4792899408284654E-3</v>
      </c>
      <c r="J34" s="50">
        <v>0</v>
      </c>
      <c r="K34" s="50">
        <f t="shared" si="25"/>
        <v>0</v>
      </c>
      <c r="L34" s="50">
        <f t="shared" si="25"/>
        <v>0</v>
      </c>
      <c r="M34" s="50">
        <f t="shared" si="25"/>
        <v>0</v>
      </c>
      <c r="N34" s="50">
        <f t="shared" si="25"/>
        <v>0</v>
      </c>
      <c r="O34" s="50"/>
      <c r="P34" s="50"/>
    </row>
    <row r="35" spans="1:16" x14ac:dyDescent="0.3">
      <c r="A35" s="11" t="s">
        <v>136</v>
      </c>
      <c r="B35" s="51">
        <f t="shared" ref="B35:I35" si="27">+B42+B38</f>
        <v>3766</v>
      </c>
      <c r="C35" s="51">
        <f t="shared" si="27"/>
        <v>3896</v>
      </c>
      <c r="D35" s="51">
        <f t="shared" si="27"/>
        <v>4015</v>
      </c>
      <c r="E35" s="51">
        <f t="shared" si="27"/>
        <v>3760</v>
      </c>
      <c r="F35" s="51">
        <f t="shared" si="27"/>
        <v>4074</v>
      </c>
      <c r="G35" s="51">
        <f t="shared" si="27"/>
        <v>3047</v>
      </c>
      <c r="H35" s="51">
        <f t="shared" si="27"/>
        <v>5219</v>
      </c>
      <c r="I35" s="51">
        <f t="shared" si="27"/>
        <v>5238</v>
      </c>
      <c r="J35" s="51">
        <f>+J21*J37</f>
        <v>5238</v>
      </c>
      <c r="K35" s="51">
        <f>+K21*K37</f>
        <v>5238</v>
      </c>
      <c r="L35" s="51">
        <f>+L21*L37</f>
        <v>5238</v>
      </c>
      <c r="M35" s="51">
        <f>+M21*M37</f>
        <v>5238</v>
      </c>
      <c r="N35" s="51">
        <f>+N21*N37</f>
        <v>5238</v>
      </c>
      <c r="O35" s="51"/>
      <c r="P35" s="51"/>
    </row>
    <row r="36" spans="1:16" x14ac:dyDescent="0.3">
      <c r="A36" s="43" t="s">
        <v>135</v>
      </c>
      <c r="B36" s="45" t="str">
        <f t="shared" ref="B36:N36" si="28">+IFERROR(B35/A35-1,"nm")</f>
        <v>nm</v>
      </c>
      <c r="C36" s="45">
        <f t="shared" si="28"/>
        <v>3.4519383961763239E-2</v>
      </c>
      <c r="D36" s="45">
        <f t="shared" si="28"/>
        <v>3.0544147843942548E-2</v>
      </c>
      <c r="E36" s="45">
        <f t="shared" si="28"/>
        <v>-6.3511830635118338E-2</v>
      </c>
      <c r="F36" s="45">
        <f t="shared" si="28"/>
        <v>8.3510638297872308E-2</v>
      </c>
      <c r="G36" s="45">
        <f t="shared" si="28"/>
        <v>-0.25208640157093765</v>
      </c>
      <c r="H36" s="45">
        <f t="shared" si="28"/>
        <v>0.71283229405973092</v>
      </c>
      <c r="I36" s="45">
        <f t="shared" si="28"/>
        <v>3.6405441655489312E-3</v>
      </c>
      <c r="J36" s="45">
        <f t="shared" si="28"/>
        <v>0</v>
      </c>
      <c r="K36" s="45">
        <f t="shared" si="28"/>
        <v>0</v>
      </c>
      <c r="L36" s="45">
        <f t="shared" si="28"/>
        <v>0</v>
      </c>
      <c r="M36" s="45">
        <f t="shared" si="28"/>
        <v>0</v>
      </c>
      <c r="N36" s="45">
        <f t="shared" si="28"/>
        <v>0</v>
      </c>
      <c r="O36" s="45"/>
      <c r="P36" s="45"/>
    </row>
    <row r="37" spans="1:16" x14ac:dyDescent="0.3">
      <c r="A37" s="43" t="s">
        <v>137</v>
      </c>
      <c r="B37" s="45">
        <f t="shared" ref="B37:I37" si="29">+IFERROR(B35/B$21,"nm")</f>
        <v>0.27409024745269289</v>
      </c>
      <c r="C37" s="45">
        <f t="shared" si="29"/>
        <v>0.26388512598211866</v>
      </c>
      <c r="D37" s="45">
        <f t="shared" si="29"/>
        <v>0.26386698212407994</v>
      </c>
      <c r="E37" s="45">
        <f t="shared" si="29"/>
        <v>0.25311342982160889</v>
      </c>
      <c r="F37" s="45">
        <f t="shared" si="29"/>
        <v>0.25619418941013711</v>
      </c>
      <c r="G37" s="45">
        <f t="shared" si="29"/>
        <v>0.2103700635183651</v>
      </c>
      <c r="H37" s="45">
        <f t="shared" si="29"/>
        <v>0.30380115256999823</v>
      </c>
      <c r="I37" s="45">
        <f t="shared" si="29"/>
        <v>0.28540293140086087</v>
      </c>
      <c r="J37" s="50">
        <f>+I37</f>
        <v>0.28540293140086087</v>
      </c>
      <c r="K37" s="50">
        <f>+J37</f>
        <v>0.28540293140086087</v>
      </c>
      <c r="L37" s="50">
        <f>+K37</f>
        <v>0.28540293140086087</v>
      </c>
      <c r="M37" s="50">
        <f>+L37</f>
        <v>0.28540293140086087</v>
      </c>
      <c r="N37" s="50">
        <f>+M37</f>
        <v>0.28540293140086087</v>
      </c>
      <c r="O37" s="50"/>
      <c r="P37" s="50"/>
    </row>
    <row r="38" spans="1:16" x14ac:dyDescent="0.3">
      <c r="A38" s="11" t="s">
        <v>138</v>
      </c>
      <c r="B38" s="11">
        <f>+Historicals!B167</f>
        <v>121</v>
      </c>
      <c r="C38" s="11">
        <f>+Historicals!C167</f>
        <v>133</v>
      </c>
      <c r="D38" s="11">
        <f>+Historicals!D167</f>
        <v>140</v>
      </c>
      <c r="E38" s="11">
        <f>+Historicals!E167</f>
        <v>160</v>
      </c>
      <c r="F38" s="11">
        <f>+Historicals!F167</f>
        <v>149</v>
      </c>
      <c r="G38" s="11">
        <f>+Historicals!G167</f>
        <v>148</v>
      </c>
      <c r="H38" s="11">
        <f>+Historicals!H167</f>
        <v>130</v>
      </c>
      <c r="I38" s="11">
        <f>+Historicals!I167</f>
        <v>124</v>
      </c>
      <c r="J38" s="51">
        <f>+J41*J48</f>
        <v>124.00000000000001</v>
      </c>
      <c r="K38" s="51">
        <f>+K41*K48</f>
        <v>124.00000000000001</v>
      </c>
      <c r="L38" s="51">
        <f>+L41*L48</f>
        <v>124.00000000000001</v>
      </c>
      <c r="M38" s="51">
        <f>+M41*M48</f>
        <v>124.00000000000001</v>
      </c>
      <c r="N38" s="51">
        <f>+N41*N48</f>
        <v>124.00000000000001</v>
      </c>
      <c r="O38" s="51"/>
      <c r="P38" s="51"/>
    </row>
    <row r="39" spans="1:16" x14ac:dyDescent="0.3">
      <c r="A39" s="43" t="s">
        <v>135</v>
      </c>
      <c r="B39" s="45" t="str">
        <f t="shared" ref="B39:N39" si="30">+IFERROR(B38/A38-1,"nm")</f>
        <v>nm</v>
      </c>
      <c r="C39" s="45">
        <f t="shared" si="30"/>
        <v>9.9173553719008156E-2</v>
      </c>
      <c r="D39" s="45">
        <f t="shared" si="30"/>
        <v>5.2631578947368363E-2</v>
      </c>
      <c r="E39" s="45">
        <f t="shared" si="30"/>
        <v>0.14285714285714279</v>
      </c>
      <c r="F39" s="45">
        <f t="shared" si="30"/>
        <v>-6.8749999999999978E-2</v>
      </c>
      <c r="G39" s="45">
        <f t="shared" si="30"/>
        <v>-6.7114093959731447E-3</v>
      </c>
      <c r="H39" s="45">
        <f t="shared" si="30"/>
        <v>-0.1216216216216216</v>
      </c>
      <c r="I39" s="45">
        <f t="shared" si="30"/>
        <v>-4.6153846153846101E-2</v>
      </c>
      <c r="J39" s="45">
        <f t="shared" si="30"/>
        <v>2.2204460492503131E-16</v>
      </c>
      <c r="K39" s="45">
        <f t="shared" si="30"/>
        <v>0</v>
      </c>
      <c r="L39" s="45">
        <f t="shared" si="30"/>
        <v>0</v>
      </c>
      <c r="M39" s="45">
        <f t="shared" si="30"/>
        <v>0</v>
      </c>
      <c r="N39" s="45">
        <f t="shared" si="30"/>
        <v>0</v>
      </c>
      <c r="O39" s="45"/>
      <c r="P39" s="45"/>
    </row>
    <row r="40" spans="1:16" x14ac:dyDescent="0.3">
      <c r="A40" s="43" t="s">
        <v>139</v>
      </c>
      <c r="B40" s="45">
        <f t="shared" ref="B40:N40" si="31">+IFERROR(B38/B$21,"nm")</f>
        <v>8.8064046579330417E-3</v>
      </c>
      <c r="C40" s="45">
        <f t="shared" si="31"/>
        <v>9.0083988079111346E-3</v>
      </c>
      <c r="D40" s="45">
        <f t="shared" si="31"/>
        <v>9.2008412197686646E-3</v>
      </c>
      <c r="E40" s="45">
        <f t="shared" si="31"/>
        <v>1.0770784247728038E-2</v>
      </c>
      <c r="F40" s="45">
        <f t="shared" si="31"/>
        <v>9.3698905798012821E-3</v>
      </c>
      <c r="G40" s="45">
        <f t="shared" si="31"/>
        <v>1.0218171775752554E-2</v>
      </c>
      <c r="H40" s="45">
        <f t="shared" si="31"/>
        <v>7.5673787764130628E-3</v>
      </c>
      <c r="I40" s="45">
        <f t="shared" si="31"/>
        <v>6.7563886013185855E-3</v>
      </c>
      <c r="J40" s="45">
        <f t="shared" si="31"/>
        <v>6.7563886013185864E-3</v>
      </c>
      <c r="K40" s="45">
        <f t="shared" si="31"/>
        <v>6.7563886013185864E-3</v>
      </c>
      <c r="L40" s="45">
        <f t="shared" si="31"/>
        <v>6.7563886013185864E-3</v>
      </c>
      <c r="M40" s="45">
        <f t="shared" si="31"/>
        <v>6.7563886013185864E-3</v>
      </c>
      <c r="N40" s="45">
        <f t="shared" si="31"/>
        <v>6.7563886013185864E-3</v>
      </c>
      <c r="O40" s="45"/>
      <c r="P40" s="45"/>
    </row>
    <row r="41" spans="1:16" x14ac:dyDescent="0.3">
      <c r="A41" s="43" t="s">
        <v>146</v>
      </c>
      <c r="B41" s="45">
        <f t="shared" ref="B41:I41" si="32">+IFERROR(B38/B48,"nm")</f>
        <v>0.19145569620253164</v>
      </c>
      <c r="C41" s="45">
        <f t="shared" si="32"/>
        <v>0.17924528301886791</v>
      </c>
      <c r="D41" s="45">
        <f t="shared" si="32"/>
        <v>0.17094017094017094</v>
      </c>
      <c r="E41" s="45">
        <f t="shared" si="32"/>
        <v>0.18867924528301888</v>
      </c>
      <c r="F41" s="45">
        <f t="shared" si="32"/>
        <v>0.18304668304668303</v>
      </c>
      <c r="G41" s="45">
        <f t="shared" si="32"/>
        <v>0.22945736434108527</v>
      </c>
      <c r="H41" s="45">
        <f t="shared" si="32"/>
        <v>0.21069692058346839</v>
      </c>
      <c r="I41" s="45">
        <f t="shared" si="32"/>
        <v>0.19405320813771518</v>
      </c>
      <c r="J41" s="50">
        <f>+I41</f>
        <v>0.19405320813771518</v>
      </c>
      <c r="K41" s="50">
        <f>+J41</f>
        <v>0.19405320813771518</v>
      </c>
      <c r="L41" s="50">
        <f>+K41</f>
        <v>0.19405320813771518</v>
      </c>
      <c r="M41" s="50">
        <f>+L41</f>
        <v>0.19405320813771518</v>
      </c>
      <c r="N41" s="50">
        <f>+M41</f>
        <v>0.19405320813771518</v>
      </c>
      <c r="O41" s="50"/>
      <c r="P41" s="50"/>
    </row>
    <row r="42" spans="1:16" x14ac:dyDescent="0.3">
      <c r="A42" s="11" t="s">
        <v>140</v>
      </c>
      <c r="B42" s="11">
        <f>+Historicals!B134</f>
        <v>3645</v>
      </c>
      <c r="C42" s="11">
        <f>+Historicals!C134</f>
        <v>3763</v>
      </c>
      <c r="D42" s="11">
        <f>+Historicals!D134</f>
        <v>3875</v>
      </c>
      <c r="E42" s="11">
        <f>+Historicals!E134</f>
        <v>3600</v>
      </c>
      <c r="F42" s="11">
        <f>+Historicals!F134</f>
        <v>3925</v>
      </c>
      <c r="G42" s="11">
        <f>+Historicals!G134</f>
        <v>2899</v>
      </c>
      <c r="H42" s="11">
        <f>+Historicals!H134</f>
        <v>5089</v>
      </c>
      <c r="I42" s="11">
        <f>+Historicals!I134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  <c r="O42" s="11"/>
      <c r="P42" s="11"/>
    </row>
    <row r="43" spans="1:16" x14ac:dyDescent="0.3">
      <c r="A43" s="43" t="s">
        <v>135</v>
      </c>
      <c r="B43" s="45" t="str">
        <f t="shared" ref="B43:N43" si="33">+IFERROR(B42/A42-1,"nm")</f>
        <v>nm</v>
      </c>
      <c r="C43" s="45">
        <f t="shared" si="33"/>
        <v>3.2373113854595292E-2</v>
      </c>
      <c r="D43" s="45">
        <f t="shared" si="33"/>
        <v>2.9763486579856391E-2</v>
      </c>
      <c r="E43" s="45">
        <f t="shared" si="33"/>
        <v>-7.096774193548383E-2</v>
      </c>
      <c r="F43" s="45">
        <f t="shared" si="33"/>
        <v>9.0277777777777679E-2</v>
      </c>
      <c r="G43" s="45">
        <f t="shared" si="33"/>
        <v>-0.26140127388535028</v>
      </c>
      <c r="H43" s="45">
        <f t="shared" si="33"/>
        <v>0.75543290789927564</v>
      </c>
      <c r="I43" s="45">
        <f t="shared" si="33"/>
        <v>4.9125564943997002E-3</v>
      </c>
      <c r="J43" s="45">
        <f t="shared" si="33"/>
        <v>0</v>
      </c>
      <c r="K43" s="45">
        <f t="shared" si="33"/>
        <v>0</v>
      </c>
      <c r="L43" s="45">
        <f t="shared" si="33"/>
        <v>0</v>
      </c>
      <c r="M43" s="45">
        <f t="shared" si="33"/>
        <v>0</v>
      </c>
      <c r="N43" s="45">
        <f t="shared" si="33"/>
        <v>0</v>
      </c>
      <c r="O43" s="45"/>
      <c r="P43" s="45"/>
    </row>
    <row r="44" spans="1:16" x14ac:dyDescent="0.3">
      <c r="A44" s="43" t="s">
        <v>137</v>
      </c>
      <c r="B44" s="45">
        <f t="shared" ref="B44:N44" si="34">+IFERROR(B42/B$21,"nm")</f>
        <v>0.26528384279475981</v>
      </c>
      <c r="C44" s="45">
        <f t="shared" si="34"/>
        <v>0.25487672717420751</v>
      </c>
      <c r="D44" s="45">
        <f t="shared" si="34"/>
        <v>0.25466614090431128</v>
      </c>
      <c r="E44" s="45">
        <f t="shared" si="34"/>
        <v>0.24234264557388085</v>
      </c>
      <c r="F44" s="45">
        <f t="shared" si="34"/>
        <v>0.2468242988303358</v>
      </c>
      <c r="G44" s="45">
        <f t="shared" si="34"/>
        <v>0.20015189174261253</v>
      </c>
      <c r="H44" s="45">
        <f t="shared" si="34"/>
        <v>0.29623377379358518</v>
      </c>
      <c r="I44" s="45">
        <f t="shared" si="34"/>
        <v>0.27864654279954232</v>
      </c>
      <c r="J44" s="45">
        <f t="shared" si="34"/>
        <v>0.27864654279954232</v>
      </c>
      <c r="K44" s="45">
        <f t="shared" si="34"/>
        <v>0.27864654279954232</v>
      </c>
      <c r="L44" s="45">
        <f t="shared" si="34"/>
        <v>0.27864654279954232</v>
      </c>
      <c r="M44" s="45">
        <f t="shared" si="34"/>
        <v>0.27864654279954232</v>
      </c>
      <c r="N44" s="45">
        <f t="shared" si="34"/>
        <v>0.27864654279954232</v>
      </c>
      <c r="O44" s="45"/>
      <c r="P44" s="45"/>
    </row>
    <row r="45" spans="1:16" x14ac:dyDescent="0.3">
      <c r="A45" s="11" t="s">
        <v>141</v>
      </c>
      <c r="B45" s="11">
        <f>+Historicals!B156</f>
        <v>208</v>
      </c>
      <c r="C45" s="11">
        <f>+Historicals!C156</f>
        <v>242</v>
      </c>
      <c r="D45" s="11">
        <f>+Historicals!D156</f>
        <v>223</v>
      </c>
      <c r="E45" s="11">
        <f>+Historicals!E156</f>
        <v>196</v>
      </c>
      <c r="F45" s="11">
        <f>+Historicals!F156</f>
        <v>117</v>
      </c>
      <c r="G45" s="11">
        <f>+Historicals!G156</f>
        <v>110</v>
      </c>
      <c r="H45" s="11">
        <f>+Historicals!H156</f>
        <v>98</v>
      </c>
      <c r="I45" s="11">
        <f>+Historicals!I156</f>
        <v>146</v>
      </c>
      <c r="J45" s="51">
        <f>+J21*J47</f>
        <v>146</v>
      </c>
      <c r="K45" s="51">
        <f>+K21*K47</f>
        <v>146</v>
      </c>
      <c r="L45" s="51">
        <f>+L21*L47</f>
        <v>146</v>
      </c>
      <c r="M45" s="51">
        <f>+M21*M47</f>
        <v>146</v>
      </c>
      <c r="N45" s="51">
        <f>+N21*N47</f>
        <v>146</v>
      </c>
      <c r="O45" s="51"/>
      <c r="P45" s="51"/>
    </row>
    <row r="46" spans="1:16" x14ac:dyDescent="0.3">
      <c r="A46" s="43" t="s">
        <v>135</v>
      </c>
      <c r="B46" s="45" t="str">
        <f t="shared" ref="B46:N46" si="35">+IFERROR(B45/A45-1,"nm")</f>
        <v>nm</v>
      </c>
      <c r="C46" s="45">
        <f t="shared" si="35"/>
        <v>0.16346153846153855</v>
      </c>
      <c r="D46" s="45">
        <f t="shared" si="35"/>
        <v>-7.8512396694214837E-2</v>
      </c>
      <c r="E46" s="45">
        <f t="shared" si="35"/>
        <v>-0.12107623318385652</v>
      </c>
      <c r="F46" s="45">
        <f t="shared" si="35"/>
        <v>-0.40306122448979587</v>
      </c>
      <c r="G46" s="45">
        <f t="shared" si="35"/>
        <v>-5.9829059829059839E-2</v>
      </c>
      <c r="H46" s="45">
        <f t="shared" si="35"/>
        <v>-0.10909090909090913</v>
      </c>
      <c r="I46" s="45">
        <f t="shared" si="35"/>
        <v>0.48979591836734704</v>
      </c>
      <c r="J46" s="45">
        <f t="shared" si="35"/>
        <v>0</v>
      </c>
      <c r="K46" s="45">
        <f t="shared" si="35"/>
        <v>0</v>
      </c>
      <c r="L46" s="45">
        <f t="shared" si="35"/>
        <v>0</v>
      </c>
      <c r="M46" s="45">
        <f t="shared" si="35"/>
        <v>0</v>
      </c>
      <c r="N46" s="45">
        <f t="shared" si="35"/>
        <v>0</v>
      </c>
      <c r="O46" s="45"/>
      <c r="P46" s="45"/>
    </row>
    <row r="47" spans="1:16" x14ac:dyDescent="0.3">
      <c r="A47" s="43" t="s">
        <v>139</v>
      </c>
      <c r="B47" s="45">
        <f t="shared" ref="B47:I47" si="36">+IFERROR(B45/B$21,"nm")</f>
        <v>1.5138282387190683E-2</v>
      </c>
      <c r="C47" s="45">
        <f t="shared" si="36"/>
        <v>1.6391221891086428E-2</v>
      </c>
      <c r="D47" s="45">
        <f t="shared" si="36"/>
        <v>1.4655625657202945E-2</v>
      </c>
      <c r="E47" s="45">
        <f t="shared" si="36"/>
        <v>1.3194210703466847E-2</v>
      </c>
      <c r="F47" s="45">
        <f t="shared" si="36"/>
        <v>7.3575650861526856E-3</v>
      </c>
      <c r="G47" s="45">
        <f t="shared" si="36"/>
        <v>7.5945871306268989E-3</v>
      </c>
      <c r="H47" s="45">
        <f t="shared" si="36"/>
        <v>5.7046393852960009E-3</v>
      </c>
      <c r="I47" s="45">
        <f t="shared" si="36"/>
        <v>7.9551027080041418E-3</v>
      </c>
      <c r="J47" s="50">
        <f>+I47</f>
        <v>7.9551027080041418E-3</v>
      </c>
      <c r="K47" s="50">
        <f>+J47</f>
        <v>7.9551027080041418E-3</v>
      </c>
      <c r="L47" s="50">
        <f>+K47</f>
        <v>7.9551027080041418E-3</v>
      </c>
      <c r="M47" s="50">
        <f>+L47</f>
        <v>7.9551027080041418E-3</v>
      </c>
      <c r="N47" s="50">
        <f>+M47</f>
        <v>7.9551027080041418E-3</v>
      </c>
      <c r="O47" s="50"/>
      <c r="P47" s="50"/>
    </row>
    <row r="48" spans="1:16" x14ac:dyDescent="0.3">
      <c r="A48" s="11" t="s">
        <v>142</v>
      </c>
      <c r="B48" s="11">
        <f>+Historicals!B145</f>
        <v>632</v>
      </c>
      <c r="C48" s="11">
        <f>+Historicals!C145</f>
        <v>742</v>
      </c>
      <c r="D48" s="11">
        <f>+Historicals!D145</f>
        <v>819</v>
      </c>
      <c r="E48" s="11">
        <f>+Historicals!E145</f>
        <v>848</v>
      </c>
      <c r="F48" s="11">
        <f>+Historicals!F145</f>
        <v>814</v>
      </c>
      <c r="G48" s="11">
        <f>+Historicals!G145</f>
        <v>645</v>
      </c>
      <c r="H48" s="11">
        <f>+Historicals!H145</f>
        <v>617</v>
      </c>
      <c r="I48" s="11">
        <f>+Historicals!I145</f>
        <v>639</v>
      </c>
      <c r="J48" s="51">
        <f>+J21*J50</f>
        <v>639.00000000000011</v>
      </c>
      <c r="K48" s="51">
        <f>+K21*K50</f>
        <v>639.00000000000011</v>
      </c>
      <c r="L48" s="51">
        <f>+L21*L50</f>
        <v>639.00000000000011</v>
      </c>
      <c r="M48" s="51">
        <f>+M21*M50</f>
        <v>639.00000000000011</v>
      </c>
      <c r="N48" s="51">
        <f>+N21*N50</f>
        <v>639.00000000000011</v>
      </c>
      <c r="O48" s="51"/>
      <c r="P48" s="51"/>
    </row>
    <row r="49" spans="1:16" x14ac:dyDescent="0.3">
      <c r="A49" s="43" t="s">
        <v>135</v>
      </c>
      <c r="B49" s="45" t="str">
        <f t="shared" ref="B49:I49" si="37">+IFERROR(B48/A48-1,"nm")</f>
        <v>nm</v>
      </c>
      <c r="C49" s="45">
        <f t="shared" si="37"/>
        <v>0.17405063291139244</v>
      </c>
      <c r="D49" s="45">
        <f t="shared" si="37"/>
        <v>0.10377358490566047</v>
      </c>
      <c r="E49" s="45">
        <f t="shared" si="37"/>
        <v>3.5409035409035505E-2</v>
      </c>
      <c r="F49" s="45">
        <f t="shared" si="37"/>
        <v>-4.0094339622641528E-2</v>
      </c>
      <c r="G49" s="45">
        <f t="shared" si="37"/>
        <v>-0.20761670761670759</v>
      </c>
      <c r="H49" s="45">
        <f t="shared" si="37"/>
        <v>-4.3410852713178349E-2</v>
      </c>
      <c r="I49" s="45">
        <f t="shared" si="37"/>
        <v>3.5656401944894611E-2</v>
      </c>
      <c r="J49" s="45">
        <f>+J50+J51</f>
        <v>3.4817196098730456E-2</v>
      </c>
      <c r="K49" s="45">
        <f>+K50+K51</f>
        <v>3.4817196098730456E-2</v>
      </c>
      <c r="L49" s="45">
        <f>+L50+L51</f>
        <v>3.4817196098730456E-2</v>
      </c>
      <c r="M49" s="45">
        <f>+M50+M51</f>
        <v>3.4817196098730456E-2</v>
      </c>
      <c r="N49" s="45">
        <f>+N50+N51</f>
        <v>3.4817196098730456E-2</v>
      </c>
      <c r="O49" s="45"/>
      <c r="P49" s="45"/>
    </row>
    <row r="50" spans="1:16" x14ac:dyDescent="0.3">
      <c r="A50" s="43" t="s">
        <v>139</v>
      </c>
      <c r="B50" s="45">
        <f t="shared" ref="B50:I50" si="38">+IFERROR(B48/B$21,"nm")</f>
        <v>4.599708879184862E-2</v>
      </c>
      <c r="C50" s="45">
        <f t="shared" si="38"/>
        <v>5.0257382823083174E-2</v>
      </c>
      <c r="D50" s="45">
        <f t="shared" si="38"/>
        <v>5.3824921135646686E-2</v>
      </c>
      <c r="E50" s="45">
        <f t="shared" si="38"/>
        <v>5.7085156512958597E-2</v>
      </c>
      <c r="F50" s="45">
        <f t="shared" si="38"/>
        <v>5.1188529744686205E-2</v>
      </c>
      <c r="G50" s="45">
        <f t="shared" si="38"/>
        <v>4.4531897265948632E-2</v>
      </c>
      <c r="H50" s="45">
        <f t="shared" si="38"/>
        <v>3.5915943884975841E-2</v>
      </c>
      <c r="I50" s="45">
        <f t="shared" si="38"/>
        <v>3.4817196098730456E-2</v>
      </c>
      <c r="J50" s="50">
        <f>+I50</f>
        <v>3.4817196098730456E-2</v>
      </c>
      <c r="K50" s="50">
        <f>+J50</f>
        <v>3.4817196098730456E-2</v>
      </c>
      <c r="L50" s="50">
        <f>+K50</f>
        <v>3.4817196098730456E-2</v>
      </c>
      <c r="M50" s="50">
        <f>+L50</f>
        <v>3.4817196098730456E-2</v>
      </c>
      <c r="N50" s="50">
        <f>+M50</f>
        <v>3.4817196098730456E-2</v>
      </c>
      <c r="O50" s="50"/>
      <c r="P50" s="50"/>
    </row>
    <row r="51" spans="1:16" x14ac:dyDescent="0.3">
      <c r="A51" s="47" t="str">
        <f>+[1]Historicals!A138</f>
        <v>Global Brand Divisions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  <c r="O51" s="41"/>
      <c r="P51" s="41"/>
    </row>
    <row r="52" spans="1:16" x14ac:dyDescent="0.3">
      <c r="A52" s="11" t="s">
        <v>143</v>
      </c>
      <c r="B52" s="51">
        <f>+Historicals!B123</f>
        <v>115</v>
      </c>
      <c r="C52" s="51">
        <f>+Historicals!C123</f>
        <v>73</v>
      </c>
      <c r="D52" s="51">
        <f>+Historicals!D123</f>
        <v>73</v>
      </c>
      <c r="E52" s="51">
        <f>+Historicals!E123</f>
        <v>88</v>
      </c>
      <c r="F52" s="51">
        <f>+Historicals!F123</f>
        <v>42</v>
      </c>
      <c r="G52" s="51">
        <f>+Historicals!G123</f>
        <v>30</v>
      </c>
      <c r="H52" s="51">
        <f>+Historicals!H123</f>
        <v>25</v>
      </c>
      <c r="I52" s="51">
        <f>+Historicals!I123</f>
        <v>102</v>
      </c>
      <c r="J52" s="10">
        <f>I52*(1+J53)</f>
        <v>102</v>
      </c>
      <c r="K52" s="10">
        <f>J52*(1+K53)</f>
        <v>102</v>
      </c>
      <c r="L52" s="10">
        <f>K52*(1+L53)</f>
        <v>102</v>
      </c>
      <c r="M52" s="10">
        <f>L52*(1+M53)</f>
        <v>102</v>
      </c>
      <c r="N52" s="10">
        <f>M52*(1+N53)</f>
        <v>102</v>
      </c>
      <c r="O52" s="10"/>
      <c r="P52" s="10"/>
    </row>
    <row r="53" spans="1:16" x14ac:dyDescent="0.3">
      <c r="A53" s="48" t="s">
        <v>135</v>
      </c>
      <c r="B53" t="str">
        <f>(IFERROR(A52/B52-1,"NM"))</f>
        <v>NM</v>
      </c>
      <c r="C53" s="44">
        <f t="shared" ref="C53:I53" si="39">C52/B52-1</f>
        <v>-0.36521739130434783</v>
      </c>
      <c r="D53" s="44">
        <f t="shared" si="39"/>
        <v>0</v>
      </c>
      <c r="E53" s="44">
        <f t="shared" si="39"/>
        <v>0.20547945205479445</v>
      </c>
      <c r="F53" s="44">
        <f t="shared" si="39"/>
        <v>-0.52272727272727271</v>
      </c>
      <c r="G53" s="44">
        <f t="shared" si="39"/>
        <v>-0.2857142857142857</v>
      </c>
      <c r="H53" s="44">
        <f t="shared" si="39"/>
        <v>-0.16666666666666663</v>
      </c>
      <c r="I53" s="44">
        <f t="shared" si="39"/>
        <v>3.08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/>
      <c r="P53" s="44"/>
    </row>
    <row r="54" spans="1:16" x14ac:dyDescent="0.3">
      <c r="A54" s="11" t="s">
        <v>136</v>
      </c>
      <c r="B54" s="10">
        <f t="shared" ref="B54:I54" si="40">B57+B61</f>
        <v>-2057</v>
      </c>
      <c r="C54" s="10">
        <f t="shared" si="40"/>
        <v>-2366</v>
      </c>
      <c r="D54" s="10">
        <f t="shared" si="40"/>
        <v>-2444</v>
      </c>
      <c r="E54" s="10">
        <f t="shared" si="40"/>
        <v>-2441</v>
      </c>
      <c r="F54" s="10">
        <f t="shared" si="40"/>
        <v>-3067</v>
      </c>
      <c r="G54" s="10">
        <f t="shared" si="40"/>
        <v>-3254</v>
      </c>
      <c r="H54" s="10">
        <f t="shared" si="40"/>
        <v>-3434</v>
      </c>
      <c r="I54" s="10">
        <f t="shared" si="40"/>
        <v>-4042</v>
      </c>
      <c r="J54" s="10">
        <f>I56*J52</f>
        <v>-4042</v>
      </c>
      <c r="K54" s="10">
        <f>J56*K52</f>
        <v>-4042</v>
      </c>
      <c r="L54" s="10">
        <f>K56*L52</f>
        <v>-4042</v>
      </c>
      <c r="M54" s="10">
        <f>L56*M52</f>
        <v>-4042</v>
      </c>
      <c r="N54" s="10">
        <f>M56*N52</f>
        <v>-4042</v>
      </c>
      <c r="O54" s="10"/>
      <c r="P54" s="10" t="s">
        <v>147</v>
      </c>
    </row>
    <row r="55" spans="1:16" x14ac:dyDescent="0.3">
      <c r="A55" s="43" t="s">
        <v>135</v>
      </c>
      <c r="B55" t="str">
        <f>+IFERROR(B54/A54-1,"NM")</f>
        <v>NM</v>
      </c>
      <c r="C55" s="44">
        <f t="shared" ref="C55:I55" si="41">C54/B54-1</f>
        <v>0.15021876519202726</v>
      </c>
      <c r="D55" s="44">
        <f t="shared" si="41"/>
        <v>3.2967032967033072E-2</v>
      </c>
      <c r="E55" s="44">
        <f t="shared" si="41"/>
        <v>-1.2274959083469206E-3</v>
      </c>
      <c r="F55" s="44">
        <f t="shared" si="41"/>
        <v>0.25645227365833678</v>
      </c>
      <c r="G55" s="44">
        <f t="shared" si="41"/>
        <v>6.0971633518095869E-2</v>
      </c>
      <c r="H55" s="44">
        <f t="shared" si="41"/>
        <v>5.5316533497234088E-2</v>
      </c>
      <c r="I55" s="44">
        <f t="shared" si="41"/>
        <v>0.1770529994175889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/>
      <c r="P55" s="44"/>
    </row>
    <row r="56" spans="1:16" x14ac:dyDescent="0.3">
      <c r="A56" s="43" t="s">
        <v>137</v>
      </c>
      <c r="B56" s="44">
        <f t="shared" ref="B56:N56" si="42">B54/B52</f>
        <v>-17.88695652173913</v>
      </c>
      <c r="C56" s="44">
        <f t="shared" si="42"/>
        <v>-32.410958904109592</v>
      </c>
      <c r="D56" s="44">
        <f t="shared" si="42"/>
        <v>-33.479452054794521</v>
      </c>
      <c r="E56" s="44">
        <f t="shared" si="42"/>
        <v>-27.738636363636363</v>
      </c>
      <c r="F56" s="44">
        <f t="shared" si="42"/>
        <v>-73.023809523809518</v>
      </c>
      <c r="G56" s="44">
        <f t="shared" si="42"/>
        <v>-108.46666666666667</v>
      </c>
      <c r="H56" s="44">
        <f t="shared" si="42"/>
        <v>-137.36000000000001</v>
      </c>
      <c r="I56" s="44">
        <f t="shared" si="42"/>
        <v>-39.627450980392155</v>
      </c>
      <c r="J56" s="44">
        <f t="shared" si="42"/>
        <v>-39.627450980392155</v>
      </c>
      <c r="K56" s="44">
        <f t="shared" si="42"/>
        <v>-39.627450980392155</v>
      </c>
      <c r="L56" s="44">
        <f t="shared" si="42"/>
        <v>-39.627450980392155</v>
      </c>
      <c r="M56" s="44">
        <f t="shared" si="42"/>
        <v>-39.627450980392155</v>
      </c>
      <c r="N56" s="44">
        <f t="shared" si="42"/>
        <v>-39.627450980392155</v>
      </c>
      <c r="O56" s="44"/>
      <c r="P56" s="44"/>
    </row>
    <row r="57" spans="1:16" x14ac:dyDescent="0.3">
      <c r="A57" s="11" t="s">
        <v>138</v>
      </c>
      <c r="B57" s="51">
        <f>+Historicals!B171</f>
        <v>210</v>
      </c>
      <c r="C57" s="51">
        <f>+Historicals!C171</f>
        <v>230</v>
      </c>
      <c r="D57" s="51">
        <f>+Historicals!D171</f>
        <v>233</v>
      </c>
      <c r="E57" s="51">
        <f>+Historicals!E171</f>
        <v>217</v>
      </c>
      <c r="F57" s="51">
        <f>+Historicals!F171</f>
        <v>195</v>
      </c>
      <c r="G57" s="51">
        <f>+Historicals!G171</f>
        <v>214</v>
      </c>
      <c r="H57" s="51">
        <f>+Historicals!H171</f>
        <v>222</v>
      </c>
      <c r="I57" s="51">
        <f>+Historicals!I171</f>
        <v>220</v>
      </c>
      <c r="J57" s="10">
        <f>I57*(1+J58)</f>
        <v>220</v>
      </c>
      <c r="K57" s="10">
        <f>J57*(1+K58)</f>
        <v>220</v>
      </c>
      <c r="L57" s="10">
        <f>K57*(1+L58)</f>
        <v>220</v>
      </c>
      <c r="M57" s="10">
        <f>L57*(1+M58)</f>
        <v>220</v>
      </c>
      <c r="N57" s="10">
        <f>M57*(1+N58)</f>
        <v>220</v>
      </c>
      <c r="O57" s="10"/>
      <c r="P57" s="10"/>
    </row>
    <row r="58" spans="1:16" x14ac:dyDescent="0.3">
      <c r="A58" s="43" t="s">
        <v>135</v>
      </c>
      <c r="B58" t="str">
        <f>+IFERROR(B57/A57-1,"NM")</f>
        <v>NM</v>
      </c>
      <c r="C58" s="44">
        <f t="shared" ref="C58:I58" si="43">C57/B57-1</f>
        <v>9.5238095238095344E-2</v>
      </c>
      <c r="D58" s="44">
        <f t="shared" si="43"/>
        <v>1.304347826086949E-2</v>
      </c>
      <c r="E58" s="44">
        <f t="shared" si="43"/>
        <v>-6.8669527896995763E-2</v>
      </c>
      <c r="F58" s="44">
        <f t="shared" si="43"/>
        <v>-0.10138248847926268</v>
      </c>
      <c r="G58" s="44">
        <f t="shared" si="43"/>
        <v>9.7435897435897534E-2</v>
      </c>
      <c r="H58" s="44">
        <f t="shared" si="43"/>
        <v>3.7383177570093462E-2</v>
      </c>
      <c r="I58" s="44">
        <f t="shared" si="43"/>
        <v>-9.009009009009028E-3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/>
      <c r="P58" s="44"/>
    </row>
    <row r="59" spans="1:16" x14ac:dyDescent="0.3">
      <c r="A59" s="43" t="s">
        <v>139</v>
      </c>
      <c r="B59" s="44">
        <f t="shared" ref="B59:N59" si="44">B57/B52</f>
        <v>1.826086956521739</v>
      </c>
      <c r="C59" s="44">
        <f t="shared" si="44"/>
        <v>3.1506849315068495</v>
      </c>
      <c r="D59" s="44">
        <f t="shared" si="44"/>
        <v>3.1917808219178081</v>
      </c>
      <c r="E59" s="44">
        <f t="shared" si="44"/>
        <v>2.4659090909090908</v>
      </c>
      <c r="F59" s="44">
        <f t="shared" si="44"/>
        <v>4.6428571428571432</v>
      </c>
      <c r="G59" s="44">
        <f t="shared" si="44"/>
        <v>7.1333333333333337</v>
      </c>
      <c r="H59" s="44">
        <f t="shared" si="44"/>
        <v>8.8800000000000008</v>
      </c>
      <c r="I59" s="44">
        <f t="shared" si="44"/>
        <v>2.1568627450980391</v>
      </c>
      <c r="J59" s="44">
        <f t="shared" si="44"/>
        <v>2.1568627450980391</v>
      </c>
      <c r="K59" s="44">
        <f t="shared" si="44"/>
        <v>2.1568627450980391</v>
      </c>
      <c r="L59" s="44">
        <f t="shared" si="44"/>
        <v>2.1568627450980391</v>
      </c>
      <c r="M59" s="44">
        <f t="shared" si="44"/>
        <v>2.1568627450980391</v>
      </c>
      <c r="N59" s="44">
        <f t="shared" si="44"/>
        <v>2.1568627450980391</v>
      </c>
      <c r="O59" s="44"/>
      <c r="P59" s="44"/>
    </row>
    <row r="60" spans="1:16" x14ac:dyDescent="0.3">
      <c r="A60" s="43" t="s">
        <v>146</v>
      </c>
      <c r="B60" s="44">
        <f t="shared" ref="B60:N60" si="45">B57/B67</f>
        <v>0.43388429752066116</v>
      </c>
      <c r="C60" s="44">
        <f t="shared" si="45"/>
        <v>0.45009784735812131</v>
      </c>
      <c r="D60" s="44">
        <f t="shared" si="45"/>
        <v>0.43714821763602252</v>
      </c>
      <c r="E60" s="44">
        <f t="shared" si="45"/>
        <v>0.36348408710217756</v>
      </c>
      <c r="F60" s="44">
        <f t="shared" si="45"/>
        <v>0.2932330827067669</v>
      </c>
      <c r="G60" s="44">
        <f t="shared" si="45"/>
        <v>0.25783132530120484</v>
      </c>
      <c r="H60" s="44">
        <f t="shared" si="45"/>
        <v>0.2846153846153846</v>
      </c>
      <c r="I60" s="44">
        <f t="shared" si="45"/>
        <v>0.27883396704689478</v>
      </c>
      <c r="J60" s="44">
        <f t="shared" si="45"/>
        <v>0.27883396704689478</v>
      </c>
      <c r="K60" s="44">
        <f t="shared" si="45"/>
        <v>0.27883396704689478</v>
      </c>
      <c r="L60" s="44">
        <f t="shared" si="45"/>
        <v>0.27883396704689478</v>
      </c>
      <c r="M60" s="44">
        <f t="shared" si="45"/>
        <v>0.27883396704689478</v>
      </c>
      <c r="N60" s="44">
        <f t="shared" si="45"/>
        <v>0.27883396704689478</v>
      </c>
      <c r="O60" s="44"/>
      <c r="P60" s="44"/>
    </row>
    <row r="61" spans="1:16" x14ac:dyDescent="0.3">
      <c r="A61" s="11" t="s">
        <v>140</v>
      </c>
      <c r="B61" s="51">
        <f>+Historicals!B138</f>
        <v>-2267</v>
      </c>
      <c r="C61" s="51">
        <f>+Historicals!C138</f>
        <v>-2596</v>
      </c>
      <c r="D61" s="51">
        <f>+Historicals!D138</f>
        <v>-2677</v>
      </c>
      <c r="E61" s="51">
        <f>+Historicals!E138</f>
        <v>-2658</v>
      </c>
      <c r="F61" s="51">
        <f>+Historicals!F138</f>
        <v>-3262</v>
      </c>
      <c r="G61" s="51">
        <f>+Historicals!G138</f>
        <v>-3468</v>
      </c>
      <c r="H61" s="51">
        <f>+Historicals!H138</f>
        <v>-3656</v>
      </c>
      <c r="I61" s="51">
        <f>+Historicals!I138</f>
        <v>-4262</v>
      </c>
      <c r="J61" s="10">
        <f>I54-I57</f>
        <v>-4262</v>
      </c>
      <c r="K61" s="10">
        <f>J54-J57</f>
        <v>-4262</v>
      </c>
      <c r="L61" s="10">
        <f>K54-K57</f>
        <v>-4262</v>
      </c>
      <c r="M61" s="10">
        <f>L54-L57</f>
        <v>-4262</v>
      </c>
      <c r="N61" s="10">
        <f>M54-M57</f>
        <v>-4262</v>
      </c>
      <c r="O61" s="10"/>
      <c r="P61" s="10" t="s">
        <v>148</v>
      </c>
    </row>
    <row r="62" spans="1:16" x14ac:dyDescent="0.3">
      <c r="A62" s="43" t="s">
        <v>135</v>
      </c>
      <c r="B62" t="str">
        <f>+IFERROR(B61/A61-1,"NM")</f>
        <v>NM</v>
      </c>
      <c r="C62" s="44">
        <f t="shared" ref="C62:I62" si="46">C61/B61-1</f>
        <v>0.145125716806352</v>
      </c>
      <c r="D62" s="44">
        <f t="shared" si="46"/>
        <v>3.1201848998459125E-2</v>
      </c>
      <c r="E62" s="44">
        <f t="shared" si="46"/>
        <v>-7.097497198356395E-3</v>
      </c>
      <c r="F62" s="44">
        <f t="shared" si="46"/>
        <v>0.22723852520692245</v>
      </c>
      <c r="G62" s="44">
        <f t="shared" si="46"/>
        <v>6.3151440833844275E-2</v>
      </c>
      <c r="H62" s="44">
        <f t="shared" si="46"/>
        <v>5.4209919261822392E-2</v>
      </c>
      <c r="I62" s="44">
        <f t="shared" si="46"/>
        <v>0.16575492341356668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/>
      <c r="P62" s="44"/>
    </row>
    <row r="63" spans="1:16" x14ac:dyDescent="0.3">
      <c r="A63" s="43" t="s">
        <v>137</v>
      </c>
      <c r="B63" s="44">
        <f t="shared" ref="B63:N63" si="47">B61/B52</f>
        <v>-19.713043478260868</v>
      </c>
      <c r="C63" s="44">
        <f t="shared" si="47"/>
        <v>-35.561643835616437</v>
      </c>
      <c r="D63" s="44">
        <f t="shared" si="47"/>
        <v>-36.671232876712331</v>
      </c>
      <c r="E63" s="44">
        <f t="shared" si="47"/>
        <v>-30.204545454545453</v>
      </c>
      <c r="F63" s="44">
        <f t="shared" si="47"/>
        <v>-77.666666666666671</v>
      </c>
      <c r="G63" s="44">
        <f t="shared" si="47"/>
        <v>-115.6</v>
      </c>
      <c r="H63" s="44">
        <f t="shared" si="47"/>
        <v>-146.24</v>
      </c>
      <c r="I63" s="44">
        <f t="shared" si="47"/>
        <v>-41.784313725490193</v>
      </c>
      <c r="J63" s="44">
        <f t="shared" si="47"/>
        <v>-41.784313725490193</v>
      </c>
      <c r="K63" s="44">
        <f t="shared" si="47"/>
        <v>-41.784313725490193</v>
      </c>
      <c r="L63" s="44">
        <f t="shared" si="47"/>
        <v>-41.784313725490193</v>
      </c>
      <c r="M63" s="44">
        <f t="shared" si="47"/>
        <v>-41.784313725490193</v>
      </c>
      <c r="N63" s="44">
        <f t="shared" si="47"/>
        <v>-41.784313725490193</v>
      </c>
      <c r="O63" s="44"/>
      <c r="P63" s="44"/>
    </row>
    <row r="64" spans="1:16" x14ac:dyDescent="0.3">
      <c r="A64" s="11" t="s">
        <v>141</v>
      </c>
      <c r="B64" s="51">
        <v>225</v>
      </c>
      <c r="C64" s="51">
        <v>258</v>
      </c>
      <c r="D64" s="51">
        <v>278</v>
      </c>
      <c r="E64" s="51">
        <v>286</v>
      </c>
      <c r="F64" s="51">
        <v>278</v>
      </c>
      <c r="G64" s="51">
        <v>438</v>
      </c>
      <c r="H64" s="51">
        <v>278</v>
      </c>
      <c r="I64" s="51">
        <v>222</v>
      </c>
      <c r="J64" s="10">
        <f>I64*(1+J65)</f>
        <v>222</v>
      </c>
      <c r="K64" s="10">
        <f>J64*(1+K65)</f>
        <v>222</v>
      </c>
      <c r="L64" s="10">
        <f>K64*(1+L65)</f>
        <v>222</v>
      </c>
      <c r="M64" s="10">
        <f>L64*(1+M65)</f>
        <v>222</v>
      </c>
      <c r="N64" s="10">
        <f>M64*(1+N65)</f>
        <v>222</v>
      </c>
      <c r="O64" s="10"/>
      <c r="P64" s="10"/>
    </row>
    <row r="65" spans="1:16" x14ac:dyDescent="0.3">
      <c r="A65" s="43" t="s">
        <v>135</v>
      </c>
      <c r="B65" t="str">
        <f>+IFERROR(B64/A64-1,"NM")</f>
        <v>NM</v>
      </c>
      <c r="C65" s="44">
        <f t="shared" ref="C65:I65" si="48">C64/B64-1</f>
        <v>0.14666666666666672</v>
      </c>
      <c r="D65" s="44">
        <f t="shared" si="48"/>
        <v>7.7519379844961156E-2</v>
      </c>
      <c r="E65" s="44">
        <f t="shared" si="48"/>
        <v>2.877697841726623E-2</v>
      </c>
      <c r="F65" s="44">
        <f t="shared" si="48"/>
        <v>-2.7972027972028024E-2</v>
      </c>
      <c r="G65" s="44">
        <f t="shared" si="48"/>
        <v>0.57553956834532372</v>
      </c>
      <c r="H65" s="44">
        <f t="shared" si="48"/>
        <v>-0.36529680365296802</v>
      </c>
      <c r="I65" s="44">
        <f t="shared" si="48"/>
        <v>-0.20143884892086328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/>
      <c r="P65" s="44"/>
    </row>
    <row r="66" spans="1:16" x14ac:dyDescent="0.3">
      <c r="A66" s="43" t="s">
        <v>139</v>
      </c>
      <c r="B66" s="44">
        <f t="shared" ref="B66:N66" si="49">B64/B52</f>
        <v>1.9565217391304348</v>
      </c>
      <c r="C66" s="44">
        <f t="shared" si="49"/>
        <v>3.5342465753424657</v>
      </c>
      <c r="D66" s="44">
        <f t="shared" si="49"/>
        <v>3.8082191780821919</v>
      </c>
      <c r="E66" s="44">
        <f t="shared" si="49"/>
        <v>3.25</v>
      </c>
      <c r="F66" s="44">
        <f t="shared" si="49"/>
        <v>6.6190476190476186</v>
      </c>
      <c r="G66" s="44">
        <f t="shared" si="49"/>
        <v>14.6</v>
      </c>
      <c r="H66" s="44">
        <f t="shared" si="49"/>
        <v>11.12</v>
      </c>
      <c r="I66" s="44">
        <f t="shared" si="49"/>
        <v>2.1764705882352939</v>
      </c>
      <c r="J66" s="44">
        <f t="shared" si="49"/>
        <v>2.1764705882352939</v>
      </c>
      <c r="K66" s="44">
        <f t="shared" si="49"/>
        <v>2.1764705882352939</v>
      </c>
      <c r="L66" s="44">
        <f t="shared" si="49"/>
        <v>2.1764705882352939</v>
      </c>
      <c r="M66" s="44">
        <f t="shared" si="49"/>
        <v>2.1764705882352939</v>
      </c>
      <c r="N66" s="44">
        <f t="shared" si="49"/>
        <v>2.1764705882352939</v>
      </c>
      <c r="O66" s="44"/>
      <c r="P66" s="44"/>
    </row>
    <row r="67" spans="1:16" x14ac:dyDescent="0.3">
      <c r="A67" s="11" t="s">
        <v>142</v>
      </c>
      <c r="B67" s="51">
        <f>+Historicals!B149</f>
        <v>484</v>
      </c>
      <c r="C67" s="51">
        <f>+Historicals!C149</f>
        <v>511</v>
      </c>
      <c r="D67" s="51">
        <f>+Historicals!D149</f>
        <v>533</v>
      </c>
      <c r="E67" s="51">
        <f>+Historicals!E149</f>
        <v>597</v>
      </c>
      <c r="F67" s="51">
        <f>+Historicals!F149</f>
        <v>665</v>
      </c>
      <c r="G67" s="51">
        <f>+Historicals!G149</f>
        <v>830</v>
      </c>
      <c r="H67" s="51">
        <f>+Historicals!H149</f>
        <v>780</v>
      </c>
      <c r="I67" s="51">
        <f>+Historicals!I149</f>
        <v>789</v>
      </c>
      <c r="J67" s="10">
        <f>I67*(1+J68)</f>
        <v>789</v>
      </c>
      <c r="K67" s="10">
        <f>J67*(1+K68)</f>
        <v>789</v>
      </c>
      <c r="L67" s="10">
        <f>K67*(1+L68)</f>
        <v>789</v>
      </c>
      <c r="M67" s="10">
        <f>L67*(1+M68)</f>
        <v>789</v>
      </c>
      <c r="N67" s="10">
        <f>M67*(1+N68)</f>
        <v>789</v>
      </c>
      <c r="O67" s="10"/>
      <c r="P67" s="10"/>
    </row>
    <row r="68" spans="1:16" x14ac:dyDescent="0.3">
      <c r="A68" s="43" t="s">
        <v>135</v>
      </c>
      <c r="B68" t="str">
        <f>+IFERROR(B67/A67-1,"NM")</f>
        <v>NM</v>
      </c>
      <c r="C68" s="44">
        <f t="shared" ref="C68:I68" si="50">C67/B67-1</f>
        <v>5.5785123966942241E-2</v>
      </c>
      <c r="D68" s="44">
        <f t="shared" si="50"/>
        <v>4.3052837573385627E-2</v>
      </c>
      <c r="E68" s="44">
        <f t="shared" si="50"/>
        <v>0.12007504690431525</v>
      </c>
      <c r="F68" s="44">
        <f t="shared" si="50"/>
        <v>0.11390284757118918</v>
      </c>
      <c r="G68" s="44">
        <f t="shared" si="50"/>
        <v>0.24812030075187974</v>
      </c>
      <c r="H68" s="44">
        <f t="shared" si="50"/>
        <v>-6.0240963855421659E-2</v>
      </c>
      <c r="I68" s="44">
        <f t="shared" si="50"/>
        <v>1.1538461538461497E-2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/>
      <c r="P68" s="44"/>
    </row>
    <row r="69" spans="1:16" x14ac:dyDescent="0.3">
      <c r="A69" s="43" t="s">
        <v>139</v>
      </c>
      <c r="B69" s="44">
        <f t="shared" ref="B69:N69" si="51">B67/B52</f>
        <v>4.2086956521739127</v>
      </c>
      <c r="C69" s="44">
        <f t="shared" si="51"/>
        <v>7</v>
      </c>
      <c r="D69" s="44">
        <f t="shared" si="51"/>
        <v>7.3013698630136989</v>
      </c>
      <c r="E69" s="44">
        <f t="shared" si="51"/>
        <v>6.7840909090909092</v>
      </c>
      <c r="F69" s="44">
        <f t="shared" si="51"/>
        <v>15.833333333333334</v>
      </c>
      <c r="G69" s="44">
        <f t="shared" si="51"/>
        <v>27.666666666666668</v>
      </c>
      <c r="H69" s="44">
        <f t="shared" si="51"/>
        <v>31.2</v>
      </c>
      <c r="I69" s="44">
        <f t="shared" si="51"/>
        <v>7.7352941176470589</v>
      </c>
      <c r="J69" s="44">
        <f t="shared" si="51"/>
        <v>7.7352941176470589</v>
      </c>
      <c r="K69" s="44">
        <f t="shared" si="51"/>
        <v>7.7352941176470589</v>
      </c>
      <c r="L69" s="44">
        <f t="shared" si="51"/>
        <v>7.7352941176470589</v>
      </c>
      <c r="M69" s="44">
        <f t="shared" si="51"/>
        <v>7.7352941176470589</v>
      </c>
      <c r="N69" s="44">
        <f t="shared" si="51"/>
        <v>7.7352941176470589</v>
      </c>
      <c r="O69" s="44"/>
      <c r="P69" s="44"/>
    </row>
    <row r="70" spans="1:16" x14ac:dyDescent="0.3">
      <c r="A70" s="47" t="str">
        <f>+Historicals!A111</f>
        <v>Europe, Middle East &amp; Africa</v>
      </c>
      <c r="B70" s="47"/>
      <c r="C70" s="47"/>
      <c r="D70" s="47"/>
      <c r="E70" s="47"/>
      <c r="F70" s="47"/>
      <c r="G70" s="47"/>
      <c r="H70" s="47"/>
      <c r="I70" s="47"/>
      <c r="J70" s="41"/>
      <c r="K70" s="41"/>
      <c r="L70" s="41"/>
      <c r="M70" s="41"/>
      <c r="N70" s="41"/>
      <c r="O70" s="41"/>
      <c r="P70" s="41"/>
    </row>
    <row r="71" spans="1:16" x14ac:dyDescent="0.3">
      <c r="A71" s="11" t="s">
        <v>143</v>
      </c>
      <c r="B71" s="10">
        <f t="shared" ref="B71:I71" si="52">B73+B77+B81</f>
        <v>7126</v>
      </c>
      <c r="C71" s="10">
        <f t="shared" si="52"/>
        <v>7568</v>
      </c>
      <c r="D71" s="10">
        <f t="shared" si="52"/>
        <v>7970</v>
      </c>
      <c r="E71" s="10">
        <f t="shared" si="52"/>
        <v>9242</v>
      </c>
      <c r="F71" s="10">
        <f t="shared" si="52"/>
        <v>9812</v>
      </c>
      <c r="G71" s="10">
        <f t="shared" si="52"/>
        <v>9347</v>
      </c>
      <c r="H71" s="10">
        <f t="shared" si="52"/>
        <v>11456</v>
      </c>
      <c r="I71" s="10">
        <f t="shared" si="52"/>
        <v>12479</v>
      </c>
      <c r="J71" s="57">
        <f>I71*(1+J72)</f>
        <v>12479</v>
      </c>
      <c r="K71" s="57">
        <f>J71*(1+K72)</f>
        <v>12479</v>
      </c>
      <c r="L71" s="57">
        <f>K71*(1+L72)</f>
        <v>12479</v>
      </c>
      <c r="M71" s="57">
        <f>L71*(1+M72)</f>
        <v>12479</v>
      </c>
      <c r="N71" s="57">
        <f>M71*(1+N72)</f>
        <v>12479</v>
      </c>
      <c r="O71" s="10" t="s">
        <v>151</v>
      </c>
      <c r="P71" s="10"/>
    </row>
    <row r="72" spans="1:16" x14ac:dyDescent="0.3">
      <c r="A72" s="48" t="s">
        <v>135</v>
      </c>
      <c r="B72" t="str">
        <f>+IFERROR(B71/A71-1,"NM")</f>
        <v>NM</v>
      </c>
      <c r="C72" s="52">
        <f>+Historicals!C183</f>
        <v>6.2026382262138649E-2</v>
      </c>
      <c r="D72" s="52">
        <f>+Historicals!D183</f>
        <v>5.3118393234672302E-2</v>
      </c>
      <c r="E72" s="52">
        <f>+Historicals!E183</f>
        <v>0.15959849435382686</v>
      </c>
      <c r="F72" s="52">
        <f>+Historicals!F183</f>
        <v>6.1674962129409219E-2</v>
      </c>
      <c r="G72" s="52">
        <f>+Historicals!G183</f>
        <v>-4.7390949857317573E-2</v>
      </c>
      <c r="H72" s="52">
        <f>+Historicals!H183</f>
        <v>0.22563389322777361</v>
      </c>
      <c r="I72" s="52">
        <f>+Historicals!I183</f>
        <v>0.12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/>
      <c r="P72" s="44"/>
    </row>
    <row r="73" spans="1:16" x14ac:dyDescent="0.3">
      <c r="A73" s="49" t="s">
        <v>108</v>
      </c>
      <c r="B73">
        <f>+Historicals!B112</f>
        <v>4703</v>
      </c>
      <c r="C73">
        <f>+Historicals!C112</f>
        <v>5043</v>
      </c>
      <c r="D73">
        <f>+Historicals!D112</f>
        <v>5192</v>
      </c>
      <c r="E73">
        <f>+Historicals!E112</f>
        <v>5875</v>
      </c>
      <c r="F73">
        <f>+Historicals!F112</f>
        <v>6293</v>
      </c>
      <c r="G73">
        <f>+Historicals!G112</f>
        <v>5892</v>
      </c>
      <c r="H73" s="20">
        <f>+Historicals!H112</f>
        <v>6970</v>
      </c>
      <c r="I73" s="20">
        <f>+Historicals!I112</f>
        <v>7388</v>
      </c>
      <c r="J73">
        <f>I73*(1+J74)</f>
        <v>7388</v>
      </c>
      <c r="K73">
        <f>J73*(1+K74)</f>
        <v>7388</v>
      </c>
      <c r="L73">
        <f>K73*(1+L74)</f>
        <v>7388</v>
      </c>
      <c r="M73">
        <f>L73*(1+M74)</f>
        <v>7388</v>
      </c>
      <c r="N73">
        <f>M73*(1+N74)</f>
        <v>7388</v>
      </c>
    </row>
    <row r="74" spans="1:16" x14ac:dyDescent="0.3">
      <c r="A74" s="48" t="s">
        <v>135</v>
      </c>
      <c r="B74" t="str">
        <f>+IFERROR(B73/A73-1,"NM")</f>
        <v>NM</v>
      </c>
      <c r="C74" s="44">
        <f t="shared" ref="C74:I74" si="53">(C73-B73)/C73</f>
        <v>6.7420186396985923E-2</v>
      </c>
      <c r="D74" s="44">
        <f t="shared" si="53"/>
        <v>2.86979969183359E-2</v>
      </c>
      <c r="E74" s="44">
        <f t="shared" si="53"/>
        <v>0.11625531914893616</v>
      </c>
      <c r="F74" s="44">
        <f t="shared" si="53"/>
        <v>6.6423009693310026E-2</v>
      </c>
      <c r="G74" s="44">
        <f t="shared" si="53"/>
        <v>-6.8058384249830281E-2</v>
      </c>
      <c r="H74" s="44">
        <f t="shared" si="53"/>
        <v>0.15466284074605452</v>
      </c>
      <c r="I74" s="44">
        <f t="shared" si="53"/>
        <v>5.6578234975636167E-2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/>
      <c r="P74" s="44"/>
    </row>
    <row r="75" spans="1:16" x14ac:dyDescent="0.3">
      <c r="A75" s="48" t="s">
        <v>144</v>
      </c>
      <c r="B75" s="52">
        <f>+Historicals!B184</f>
        <v>0.15780403741999016</v>
      </c>
      <c r="C75" s="52">
        <f>+Historicals!C184</f>
        <v>7.2294280246651077E-2</v>
      </c>
      <c r="D75" s="52">
        <f>+Historicals!D184</f>
        <v>2.9545905215149711E-2</v>
      </c>
      <c r="E75" s="52">
        <f>+Historicals!E184</f>
        <v>0.13154853620955315</v>
      </c>
      <c r="F75" s="52">
        <f>+Historicals!F184</f>
        <v>7.114893617021277E-2</v>
      </c>
      <c r="G75" s="52">
        <f>+Historicals!G184</f>
        <v>-6.3721595423486418E-2</v>
      </c>
      <c r="H75" s="52">
        <f>+Historicals!H184</f>
        <v>0.18295994568906992</v>
      </c>
      <c r="I75" s="52">
        <f>+Historicals!I184</f>
        <v>0.09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/>
      <c r="P75" s="44"/>
    </row>
    <row r="76" spans="1:16" x14ac:dyDescent="0.3">
      <c r="A76" s="48" t="s">
        <v>145</v>
      </c>
      <c r="B76">
        <v>0</v>
      </c>
      <c r="C76" s="44">
        <f t="shared" ref="C76:I76" si="54">C74-C75</f>
        <v>-4.8740938496651537E-3</v>
      </c>
      <c r="D76" s="44">
        <f t="shared" si="54"/>
        <v>-8.4790829681381102E-4</v>
      </c>
      <c r="E76" s="44">
        <f t="shared" si="54"/>
        <v>-1.5293217060616981E-2</v>
      </c>
      <c r="F76" s="44">
        <f t="shared" si="54"/>
        <v>-4.7259264769027448E-3</v>
      </c>
      <c r="G76" s="44">
        <f t="shared" si="54"/>
        <v>-4.3367888263438625E-3</v>
      </c>
      <c r="H76" s="44">
        <f t="shared" si="54"/>
        <v>-2.8297104943015405E-2</v>
      </c>
      <c r="I76" s="44">
        <f t="shared" si="54"/>
        <v>-3.342176502436383E-2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/>
      <c r="P76" s="44"/>
    </row>
    <row r="77" spans="1:16" x14ac:dyDescent="0.3">
      <c r="A77" s="49" t="s">
        <v>109</v>
      </c>
      <c r="B77">
        <f>+Historicals!B113</f>
        <v>2051</v>
      </c>
      <c r="C77">
        <f>+Historicals!C113</f>
        <v>2149</v>
      </c>
      <c r="D77">
        <f>+Historicals!D113</f>
        <v>2395</v>
      </c>
      <c r="E77">
        <f>+Historicals!E113</f>
        <v>2940</v>
      </c>
      <c r="F77">
        <f>+Historicals!F113</f>
        <v>3087</v>
      </c>
      <c r="G77">
        <f>+Historicals!G113</f>
        <v>3053</v>
      </c>
      <c r="H77" s="20">
        <f>+Historicals!H113</f>
        <v>3996</v>
      </c>
      <c r="I77" s="20">
        <f>+Historicals!I113</f>
        <v>4527</v>
      </c>
      <c r="J77">
        <f>I77*(1+J78)</f>
        <v>4527</v>
      </c>
      <c r="K77">
        <f>J77*(1+K78)</f>
        <v>4527</v>
      </c>
      <c r="L77">
        <f>K77*(1+L78)</f>
        <v>4527</v>
      </c>
      <c r="M77">
        <f>L77*(1+M78)</f>
        <v>4527</v>
      </c>
      <c r="N77">
        <f>M77*(1+N78)</f>
        <v>4527</v>
      </c>
    </row>
    <row r="78" spans="1:16" x14ac:dyDescent="0.3">
      <c r="A78" s="48" t="s">
        <v>135</v>
      </c>
      <c r="B78" t="str">
        <f>+IFERROR(B77/A77-1,"NM")</f>
        <v>NM</v>
      </c>
      <c r="C78" s="44">
        <f t="shared" ref="C78:I78" si="55">(C77-B77)/C77</f>
        <v>4.5602605863192182E-2</v>
      </c>
      <c r="D78" s="44">
        <f t="shared" si="55"/>
        <v>0.10271398747390396</v>
      </c>
      <c r="E78" s="44">
        <f t="shared" si="55"/>
        <v>0.18537414965986396</v>
      </c>
      <c r="F78" s="44">
        <f t="shared" si="55"/>
        <v>4.7619047619047616E-2</v>
      </c>
      <c r="G78" s="44">
        <f t="shared" si="55"/>
        <v>-1.1136586963642319E-2</v>
      </c>
      <c r="H78" s="44">
        <f t="shared" si="55"/>
        <v>0.235985985985986</v>
      </c>
      <c r="I78" s="44">
        <f t="shared" si="55"/>
        <v>0.1172962226640159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/>
      <c r="P78" s="44"/>
    </row>
    <row r="79" spans="1:16" x14ac:dyDescent="0.3">
      <c r="A79" s="48" t="s">
        <v>144</v>
      </c>
      <c r="B79" s="52">
        <f>+Historicals!B185</f>
        <v>4.6962736089841757E-2</v>
      </c>
      <c r="C79" s="52">
        <f>+Historicals!C185</f>
        <v>4.778156996587031E-2</v>
      </c>
      <c r="D79" s="52">
        <f>+Historicals!D185</f>
        <v>0.11447184737087017</v>
      </c>
      <c r="E79" s="52">
        <f>+Historicals!E185</f>
        <v>0.22755741127348644</v>
      </c>
      <c r="F79" s="52">
        <f>+Historicals!F185</f>
        <v>0.05</v>
      </c>
      <c r="G79" s="52">
        <f>+Historicals!G185</f>
        <v>-1.101392938127632E-2</v>
      </c>
      <c r="H79" s="52">
        <f>+Historicals!H185</f>
        <v>0.30887651490337376</v>
      </c>
      <c r="I79" s="52">
        <f>+Historicals!I185</f>
        <v>0.16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/>
      <c r="P79" s="44"/>
    </row>
    <row r="80" spans="1:16" x14ac:dyDescent="0.3">
      <c r="A80" s="48" t="s">
        <v>145</v>
      </c>
      <c r="B80">
        <v>0</v>
      </c>
      <c r="C80" s="44">
        <f t="shared" ref="C80:I80" si="56">C78-C79</f>
        <v>-2.1789641026781284E-3</v>
      </c>
      <c r="D80" s="44">
        <f t="shared" si="56"/>
        <v>-1.1757859896966205E-2</v>
      </c>
      <c r="E80" s="44">
        <f t="shared" si="56"/>
        <v>-4.2183261613622486E-2</v>
      </c>
      <c r="F80" s="44">
        <f t="shared" si="56"/>
        <v>-2.3809523809523864E-3</v>
      </c>
      <c r="G80" s="44">
        <f t="shared" si="56"/>
        <v>-1.2265758236599915E-4</v>
      </c>
      <c r="H80" s="44">
        <f t="shared" si="56"/>
        <v>-7.2890528917387759E-2</v>
      </c>
      <c r="I80" s="44">
        <f t="shared" si="56"/>
        <v>-4.27037773359841E-2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/>
      <c r="P80" s="44"/>
    </row>
    <row r="81" spans="1:16" x14ac:dyDescent="0.3">
      <c r="A81" s="49" t="s">
        <v>110</v>
      </c>
      <c r="B81">
        <f>+Historicals!B114</f>
        <v>372</v>
      </c>
      <c r="C81">
        <f>+Historicals!C114</f>
        <v>376</v>
      </c>
      <c r="D81">
        <f>+Historicals!D114</f>
        <v>383</v>
      </c>
      <c r="E81">
        <f>+Historicals!E114</f>
        <v>427</v>
      </c>
      <c r="F81">
        <f>+Historicals!F114</f>
        <v>432</v>
      </c>
      <c r="G81">
        <f>+Historicals!G114</f>
        <v>402</v>
      </c>
      <c r="H81">
        <f>+Historicals!H114</f>
        <v>490</v>
      </c>
      <c r="I81">
        <f>+Historicals!I114</f>
        <v>564</v>
      </c>
      <c r="J81">
        <f>I81*(1+J82)</f>
        <v>564</v>
      </c>
      <c r="K81">
        <f>J81*(1+K82)</f>
        <v>564</v>
      </c>
      <c r="L81">
        <f>K81*(1+L82)</f>
        <v>564</v>
      </c>
      <c r="M81">
        <f>L81*(1+M82)</f>
        <v>564</v>
      </c>
      <c r="N81">
        <f>M81*(1+N82)</f>
        <v>564</v>
      </c>
    </row>
    <row r="82" spans="1:16" x14ac:dyDescent="0.3">
      <c r="A82" s="48" t="s">
        <v>135</v>
      </c>
      <c r="B82" s="53" t="str">
        <f>+IFERROR(B81/A81-1,"NM")</f>
        <v>NM</v>
      </c>
      <c r="C82" s="54">
        <f t="shared" ref="C82:I82" si="57">(C81-B81)/C81</f>
        <v>1.0638297872340425E-2</v>
      </c>
      <c r="D82" s="54">
        <f t="shared" si="57"/>
        <v>1.8276762402088774E-2</v>
      </c>
      <c r="E82" s="54">
        <f t="shared" si="57"/>
        <v>0.10304449648711944</v>
      </c>
      <c r="F82" s="54">
        <f t="shared" si="57"/>
        <v>1.1574074074074073E-2</v>
      </c>
      <c r="G82" s="54">
        <f t="shared" si="57"/>
        <v>-7.4626865671641784E-2</v>
      </c>
      <c r="H82" s="54">
        <f t="shared" si="57"/>
        <v>0.17959183673469387</v>
      </c>
      <c r="I82" s="54">
        <f t="shared" si="57"/>
        <v>0.13120567375886524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/>
      <c r="P82" s="44"/>
    </row>
    <row r="83" spans="1:16" x14ac:dyDescent="0.3">
      <c r="A83" s="48" t="s">
        <v>144</v>
      </c>
      <c r="B83" s="52">
        <f>+Historicals!B186</f>
        <v>7.8260869565217397E-2</v>
      </c>
      <c r="C83" s="52">
        <f>+Historicals!C186</f>
        <v>1.0752688172043012E-2</v>
      </c>
      <c r="D83" s="52">
        <f>+Historicals!D186</f>
        <v>1.8617021276595744E-2</v>
      </c>
      <c r="E83" s="52">
        <f>+Historicals!E186</f>
        <v>0.11488250652741515</v>
      </c>
      <c r="F83" s="52">
        <f>+Historicals!F186</f>
        <v>1.1709601873536301E-2</v>
      </c>
      <c r="G83" s="52">
        <f>+Historicals!G186</f>
        <v>-6.9444444444444448E-2</v>
      </c>
      <c r="H83" s="52">
        <f>+Historicals!H186</f>
        <v>0.21890547263681592</v>
      </c>
      <c r="I83" s="52">
        <f>+Historicals!I186</f>
        <v>0.17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/>
      <c r="P83" s="44"/>
    </row>
    <row r="84" spans="1:16" x14ac:dyDescent="0.3">
      <c r="A84" s="48" t="s">
        <v>145</v>
      </c>
      <c r="B84">
        <v>0</v>
      </c>
      <c r="C84" s="44">
        <f t="shared" ref="C84:I84" si="58">C82-C83</f>
        <v>-1.1439029970258634E-4</v>
      </c>
      <c r="D84" s="44">
        <f t="shared" si="58"/>
        <v>-3.4025887450696984E-4</v>
      </c>
      <c r="E84" s="44">
        <f t="shared" si="58"/>
        <v>-1.1838010040295707E-2</v>
      </c>
      <c r="F84" s="44">
        <f t="shared" si="58"/>
        <v>-1.3552779946222719E-4</v>
      </c>
      <c r="G84" s="44">
        <f t="shared" si="58"/>
        <v>-5.1824212271973369E-3</v>
      </c>
      <c r="H84" s="44">
        <f t="shared" si="58"/>
        <v>-3.9313635902122057E-2</v>
      </c>
      <c r="I84" s="44">
        <f t="shared" si="58"/>
        <v>-3.8794326241134769E-2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/>
      <c r="P84" s="44"/>
    </row>
    <row r="85" spans="1:16" x14ac:dyDescent="0.3">
      <c r="A85" s="11" t="s">
        <v>136</v>
      </c>
      <c r="B85" s="10">
        <f t="shared" ref="B85:I85" si="59">B88+B92</f>
        <v>1611</v>
      </c>
      <c r="C85" s="10">
        <f t="shared" si="59"/>
        <v>1872</v>
      </c>
      <c r="D85" s="10">
        <f t="shared" si="59"/>
        <v>1613</v>
      </c>
      <c r="E85" s="10">
        <f t="shared" si="59"/>
        <v>1703</v>
      </c>
      <c r="F85" s="10">
        <f t="shared" si="59"/>
        <v>2106</v>
      </c>
      <c r="G85" s="10">
        <f t="shared" si="59"/>
        <v>1673</v>
      </c>
      <c r="H85" s="10">
        <f t="shared" si="59"/>
        <v>2571</v>
      </c>
      <c r="I85" s="10">
        <f t="shared" si="59"/>
        <v>3427</v>
      </c>
      <c r="J85" s="57">
        <f>I87*J71</f>
        <v>3427</v>
      </c>
      <c r="K85" s="57">
        <f>J87*K71</f>
        <v>3427</v>
      </c>
      <c r="L85" s="57">
        <f>K87*L71</f>
        <v>3427</v>
      </c>
      <c r="M85" s="57">
        <f>L87*M71</f>
        <v>3427</v>
      </c>
      <c r="N85" s="57">
        <f>M87*N71</f>
        <v>3427</v>
      </c>
      <c r="O85" s="10" t="s">
        <v>149</v>
      </c>
      <c r="P85" s="10"/>
    </row>
    <row r="86" spans="1:16" x14ac:dyDescent="0.3">
      <c r="A86" s="43" t="s">
        <v>135</v>
      </c>
      <c r="B86" t="str">
        <f>+IFERROR(B85/A85-1,"NM")</f>
        <v>NM</v>
      </c>
      <c r="C86" s="44">
        <f t="shared" ref="C86:I86" si="60">(C85-B85)/C85</f>
        <v>0.13942307692307693</v>
      </c>
      <c r="D86" s="44">
        <f t="shared" si="60"/>
        <v>-0.16057036577805331</v>
      </c>
      <c r="E86" s="44">
        <f t="shared" si="60"/>
        <v>5.2847915443335287E-2</v>
      </c>
      <c r="F86" s="44">
        <f t="shared" si="60"/>
        <v>0.19135802469135801</v>
      </c>
      <c r="G86" s="44">
        <f t="shared" si="60"/>
        <v>-0.25881649731022116</v>
      </c>
      <c r="H86" s="44">
        <f t="shared" si="60"/>
        <v>0.34928043562816025</v>
      </c>
      <c r="I86" s="44">
        <f t="shared" si="60"/>
        <v>0.24978114969360957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/>
      <c r="P86" s="44"/>
    </row>
    <row r="87" spans="1:16" x14ac:dyDescent="0.3">
      <c r="A87" s="43" t="s">
        <v>137</v>
      </c>
      <c r="B87" s="44">
        <f t="shared" ref="B87:N87" si="61">B85/B71</f>
        <v>0.22607353353915241</v>
      </c>
      <c r="C87" s="44">
        <f t="shared" si="61"/>
        <v>0.24735729386892177</v>
      </c>
      <c r="D87" s="44">
        <f t="shared" si="61"/>
        <v>0.20238393977415309</v>
      </c>
      <c r="E87" s="44">
        <f t="shared" si="61"/>
        <v>0.18426747457260334</v>
      </c>
      <c r="F87" s="44">
        <f t="shared" si="61"/>
        <v>0.21463514064410924</v>
      </c>
      <c r="G87" s="44">
        <f t="shared" si="61"/>
        <v>0.17898791055953783</v>
      </c>
      <c r="H87" s="44">
        <f t="shared" si="61"/>
        <v>0.22442388268156424</v>
      </c>
      <c r="I87" s="44">
        <f t="shared" si="61"/>
        <v>0.27462136389133746</v>
      </c>
      <c r="J87" s="44">
        <f t="shared" si="61"/>
        <v>0.27462136389133746</v>
      </c>
      <c r="K87" s="44">
        <f t="shared" si="61"/>
        <v>0.27462136389133746</v>
      </c>
      <c r="L87" s="44">
        <f t="shared" si="61"/>
        <v>0.27462136389133746</v>
      </c>
      <c r="M87" s="44">
        <f t="shared" si="61"/>
        <v>0.27462136389133746</v>
      </c>
      <c r="N87" s="44">
        <f t="shared" si="61"/>
        <v>0.27462136389133746</v>
      </c>
      <c r="O87" s="44" t="s">
        <v>150</v>
      </c>
      <c r="P87" s="44"/>
    </row>
    <row r="88" spans="1:16" x14ac:dyDescent="0.3">
      <c r="A88" s="11" t="s">
        <v>138</v>
      </c>
      <c r="B88" s="51">
        <f>+Historicals!B168</f>
        <v>87</v>
      </c>
      <c r="C88" s="51">
        <f>+Historicals!C168</f>
        <v>85</v>
      </c>
      <c r="D88" s="51">
        <f>+Historicals!D168</f>
        <v>106</v>
      </c>
      <c r="E88" s="51">
        <f>+Historicals!E168</f>
        <v>116</v>
      </c>
      <c r="F88" s="51">
        <f>+Historicals!F168</f>
        <v>111</v>
      </c>
      <c r="G88" s="51">
        <f>+Historicals!G168</f>
        <v>132</v>
      </c>
      <c r="H88" s="51">
        <f>+Historicals!H168</f>
        <v>136</v>
      </c>
      <c r="I88" s="51">
        <f>+Historicals!I168</f>
        <v>134</v>
      </c>
      <c r="J88" s="10">
        <f>I88*(1+J89)</f>
        <v>134</v>
      </c>
      <c r="K88" s="10">
        <f>J88*(1+K89)</f>
        <v>134</v>
      </c>
      <c r="L88" s="10">
        <f>K88*(1+L89)</f>
        <v>134</v>
      </c>
      <c r="M88" s="10">
        <f>L88*(1+M89)</f>
        <v>134</v>
      </c>
      <c r="N88" s="10">
        <f>M88*(1+N89)</f>
        <v>134</v>
      </c>
      <c r="O88" s="10"/>
      <c r="P88" s="10"/>
    </row>
    <row r="89" spans="1:16" x14ac:dyDescent="0.3">
      <c r="A89" s="43" t="s">
        <v>135</v>
      </c>
      <c r="B89" t="str">
        <f>+IFERROR(B88/A88-1,"NM")</f>
        <v>NM</v>
      </c>
      <c r="C89" s="44">
        <f t="shared" ref="C89:I89" si="62">(C88-B88)/C88</f>
        <v>-2.3529411764705882E-2</v>
      </c>
      <c r="D89" s="44">
        <f t="shared" si="62"/>
        <v>0.19811320754716982</v>
      </c>
      <c r="E89" s="44">
        <f t="shared" si="62"/>
        <v>8.6206896551724144E-2</v>
      </c>
      <c r="F89" s="44">
        <f t="shared" si="62"/>
        <v>-4.5045045045045043E-2</v>
      </c>
      <c r="G89" s="44">
        <f t="shared" si="62"/>
        <v>0.15909090909090909</v>
      </c>
      <c r="H89" s="44">
        <f t="shared" si="62"/>
        <v>2.9411764705882353E-2</v>
      </c>
      <c r="I89" s="44">
        <f t="shared" si="62"/>
        <v>-1.4925373134328358E-2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/>
      <c r="P89" s="44"/>
    </row>
    <row r="90" spans="1:16" x14ac:dyDescent="0.3">
      <c r="A90" s="43" t="s">
        <v>139</v>
      </c>
      <c r="B90" s="44">
        <f t="shared" ref="B90:N90" si="63">B88/B71</f>
        <v>1.2208812798203761E-2</v>
      </c>
      <c r="C90" s="44">
        <f t="shared" si="63"/>
        <v>1.1231501057082453E-2</v>
      </c>
      <c r="D90" s="44">
        <f t="shared" si="63"/>
        <v>1.3299874529485571E-2</v>
      </c>
      <c r="E90" s="44">
        <f t="shared" si="63"/>
        <v>1.2551395801774508E-2</v>
      </c>
      <c r="F90" s="44">
        <f t="shared" si="63"/>
        <v>1.1312678353037097E-2</v>
      </c>
      <c r="G90" s="44">
        <f t="shared" si="63"/>
        <v>1.4122178239007167E-2</v>
      </c>
      <c r="H90" s="44">
        <f t="shared" si="63"/>
        <v>1.1871508379888268E-2</v>
      </c>
      <c r="I90" s="44">
        <f t="shared" si="63"/>
        <v>1.0738039907043834E-2</v>
      </c>
      <c r="J90" s="44">
        <f t="shared" si="63"/>
        <v>1.0738039907043834E-2</v>
      </c>
      <c r="K90" s="44">
        <f t="shared" si="63"/>
        <v>1.0738039907043834E-2</v>
      </c>
      <c r="L90" s="44">
        <f t="shared" si="63"/>
        <v>1.0738039907043834E-2</v>
      </c>
      <c r="M90" s="44">
        <f t="shared" si="63"/>
        <v>1.0738039907043834E-2</v>
      </c>
      <c r="N90" s="44">
        <f t="shared" si="63"/>
        <v>1.0738039907043834E-2</v>
      </c>
      <c r="O90" s="44"/>
      <c r="P90" s="44"/>
    </row>
    <row r="91" spans="1:16" x14ac:dyDescent="0.3">
      <c r="A91" s="43" t="s">
        <v>146</v>
      </c>
      <c r="B91" s="44">
        <f t="shared" ref="B91:N91" si="64">B88/B98</f>
        <v>0.1746987951807229</v>
      </c>
      <c r="C91" s="44">
        <f t="shared" si="64"/>
        <v>0.13302034428794993</v>
      </c>
      <c r="D91" s="44">
        <f t="shared" si="64"/>
        <v>0.14950634696755993</v>
      </c>
      <c r="E91" s="44">
        <f t="shared" si="64"/>
        <v>0.13663133097762073</v>
      </c>
      <c r="F91" s="44">
        <f t="shared" si="64"/>
        <v>0.11948331539289558</v>
      </c>
      <c r="G91" s="44">
        <f t="shared" si="64"/>
        <v>0.14915254237288136</v>
      </c>
      <c r="H91" s="44">
        <f t="shared" si="64"/>
        <v>0.1384928716904277</v>
      </c>
      <c r="I91" s="44">
        <f t="shared" si="64"/>
        <v>0.14565217391304347</v>
      </c>
      <c r="J91" s="44">
        <f t="shared" si="64"/>
        <v>0.14565217391304347</v>
      </c>
      <c r="K91" s="44">
        <f t="shared" si="64"/>
        <v>0.14565217391304347</v>
      </c>
      <c r="L91" s="44">
        <f t="shared" si="64"/>
        <v>0.14565217391304347</v>
      </c>
      <c r="M91" s="44">
        <f t="shared" si="64"/>
        <v>0.14565217391304347</v>
      </c>
      <c r="N91" s="44">
        <f t="shared" si="64"/>
        <v>0.14565217391304347</v>
      </c>
      <c r="O91" s="44"/>
      <c r="P91" s="44"/>
    </row>
    <row r="92" spans="1:16" x14ac:dyDescent="0.3">
      <c r="A92" s="11" t="s">
        <v>140</v>
      </c>
      <c r="B92" s="51">
        <f>+Historicals!B135</f>
        <v>1524</v>
      </c>
      <c r="C92" s="51">
        <f>+Historicals!C135</f>
        <v>1787</v>
      </c>
      <c r="D92" s="51">
        <f>+Historicals!D135</f>
        <v>1507</v>
      </c>
      <c r="E92" s="51">
        <f>+Historicals!E135</f>
        <v>1587</v>
      </c>
      <c r="F92" s="51">
        <f>+Historicals!F135</f>
        <v>1995</v>
      </c>
      <c r="G92" s="51">
        <f>+Historicals!G135</f>
        <v>1541</v>
      </c>
      <c r="H92" s="51">
        <f>+Historicals!H135</f>
        <v>2435</v>
      </c>
      <c r="I92" s="51">
        <f>+Historicals!I135</f>
        <v>3293</v>
      </c>
      <c r="J92" s="10">
        <f>I85-I88</f>
        <v>3293</v>
      </c>
      <c r="K92" s="10">
        <f>J85-J88</f>
        <v>3293</v>
      </c>
      <c r="L92" s="10">
        <f>K85-K88</f>
        <v>3293</v>
      </c>
      <c r="M92" s="10">
        <f>L85-L88</f>
        <v>3293</v>
      </c>
      <c r="N92" s="10">
        <f>M85-M88</f>
        <v>3293</v>
      </c>
      <c r="O92" s="10"/>
      <c r="P92" s="10"/>
    </row>
    <row r="93" spans="1:16" x14ac:dyDescent="0.3">
      <c r="A93" s="43" t="s">
        <v>135</v>
      </c>
      <c r="B93" t="str">
        <f>+IFERROR(B92/A92-1,"NM")</f>
        <v>NM</v>
      </c>
      <c r="C93" s="44">
        <f t="shared" ref="C93:I93" si="65">(C92-B92)/C92</f>
        <v>0.14717403469501958</v>
      </c>
      <c r="D93" s="44">
        <f t="shared" si="65"/>
        <v>-0.18579960185799602</v>
      </c>
      <c r="E93" s="44">
        <f t="shared" si="65"/>
        <v>5.0409577819785757E-2</v>
      </c>
      <c r="F93" s="44">
        <f t="shared" si="65"/>
        <v>0.20451127819548873</v>
      </c>
      <c r="G93" s="44">
        <f t="shared" si="65"/>
        <v>-0.29461388708630759</v>
      </c>
      <c r="H93" s="44">
        <f t="shared" si="65"/>
        <v>0.36714579055441476</v>
      </c>
      <c r="I93" s="44">
        <f t="shared" si="65"/>
        <v>0.26055268751897964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/>
      <c r="P93" s="44"/>
    </row>
    <row r="94" spans="1:16" x14ac:dyDescent="0.3">
      <c r="A94" s="43" t="s">
        <v>137</v>
      </c>
      <c r="B94" s="44">
        <f t="shared" ref="B94:N94" si="66">B92/B71</f>
        <v>0.21386472074094864</v>
      </c>
      <c r="C94" s="44">
        <f t="shared" si="66"/>
        <v>0.23612579281183932</v>
      </c>
      <c r="D94" s="44">
        <f t="shared" si="66"/>
        <v>0.1890840652446675</v>
      </c>
      <c r="E94" s="44">
        <f t="shared" si="66"/>
        <v>0.17171607877082881</v>
      </c>
      <c r="F94" s="44">
        <f t="shared" si="66"/>
        <v>0.20332246229107215</v>
      </c>
      <c r="G94" s="44">
        <f t="shared" si="66"/>
        <v>0.16486573232053064</v>
      </c>
      <c r="H94" s="44">
        <f t="shared" si="66"/>
        <v>0.21255237430167598</v>
      </c>
      <c r="I94" s="44">
        <f t="shared" si="66"/>
        <v>0.26388332398429359</v>
      </c>
      <c r="J94" s="44">
        <f t="shared" si="66"/>
        <v>0.26388332398429359</v>
      </c>
      <c r="K94" s="44">
        <f t="shared" si="66"/>
        <v>0.26388332398429359</v>
      </c>
      <c r="L94" s="44">
        <f t="shared" si="66"/>
        <v>0.26388332398429359</v>
      </c>
      <c r="M94" s="44">
        <f t="shared" si="66"/>
        <v>0.26388332398429359</v>
      </c>
      <c r="N94" s="44">
        <f t="shared" si="66"/>
        <v>0.26388332398429359</v>
      </c>
      <c r="O94" s="44"/>
      <c r="P94" s="44"/>
    </row>
    <row r="95" spans="1:16" x14ac:dyDescent="0.3">
      <c r="A95" s="11" t="s">
        <v>141</v>
      </c>
      <c r="B95" s="51">
        <v>236</v>
      </c>
      <c r="C95" s="51">
        <v>234</v>
      </c>
      <c r="D95" s="51">
        <v>173</v>
      </c>
      <c r="E95" s="51">
        <v>240</v>
      </c>
      <c r="F95" s="51">
        <v>233</v>
      </c>
      <c r="G95" s="51">
        <v>139</v>
      </c>
      <c r="H95" s="51">
        <v>153</v>
      </c>
      <c r="I95" s="51">
        <v>197</v>
      </c>
      <c r="J95" s="10">
        <f>I95*(1+J96)</f>
        <v>197</v>
      </c>
      <c r="K95" s="10">
        <f>J95*(1+K96)</f>
        <v>197</v>
      </c>
      <c r="L95" s="10">
        <f>K95*(1+L96)</f>
        <v>197</v>
      </c>
      <c r="M95" s="10">
        <f>L95*(1+M96)</f>
        <v>197</v>
      </c>
      <c r="N95" s="10">
        <f>M95*(1+N96)</f>
        <v>197</v>
      </c>
      <c r="O95" s="10"/>
      <c r="P95" s="10"/>
    </row>
    <row r="96" spans="1:16" x14ac:dyDescent="0.3">
      <c r="A96" s="43" t="s">
        <v>135</v>
      </c>
      <c r="B96" t="str">
        <f>+IFERROR(B95/A495-1,"NM")</f>
        <v>NM</v>
      </c>
      <c r="C96" s="44">
        <f t="shared" ref="C96:I96" si="67">(C95-B95)/C95</f>
        <v>-8.5470085470085479E-3</v>
      </c>
      <c r="D96" s="44">
        <f t="shared" si="67"/>
        <v>-0.35260115606936415</v>
      </c>
      <c r="E96" s="44">
        <f t="shared" si="67"/>
        <v>0.27916666666666667</v>
      </c>
      <c r="F96" s="44">
        <f t="shared" si="67"/>
        <v>-3.0042918454935622E-2</v>
      </c>
      <c r="G96" s="44">
        <f t="shared" si="67"/>
        <v>-0.67625899280575541</v>
      </c>
      <c r="H96" s="44">
        <f t="shared" si="67"/>
        <v>9.1503267973856203E-2</v>
      </c>
      <c r="I96" s="44">
        <f t="shared" si="67"/>
        <v>0.2233502538071066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/>
      <c r="P96" s="44"/>
    </row>
    <row r="97" spans="1:16" x14ac:dyDescent="0.3">
      <c r="A97" s="43" t="s">
        <v>139</v>
      </c>
      <c r="B97" s="44">
        <f t="shared" ref="B97:N97" si="68">B95/B71</f>
        <v>3.3118158854897557E-2</v>
      </c>
      <c r="C97" s="44">
        <f t="shared" si="68"/>
        <v>3.0919661733615222E-2</v>
      </c>
      <c r="D97" s="44">
        <f t="shared" si="68"/>
        <v>2.1706398996235884E-2</v>
      </c>
      <c r="E97" s="44">
        <f t="shared" si="68"/>
        <v>2.5968405107119671E-2</v>
      </c>
      <c r="F97" s="44">
        <f t="shared" si="68"/>
        <v>2.3746432939258051E-2</v>
      </c>
      <c r="G97" s="44">
        <f t="shared" si="68"/>
        <v>1.4871081630469669E-2</v>
      </c>
      <c r="H97" s="44">
        <f t="shared" si="68"/>
        <v>1.3355446927374302E-2</v>
      </c>
      <c r="I97" s="44">
        <f t="shared" si="68"/>
        <v>1.5786521355877874E-2</v>
      </c>
      <c r="J97" s="44">
        <f t="shared" si="68"/>
        <v>1.5786521355877874E-2</v>
      </c>
      <c r="K97" s="44">
        <f t="shared" si="68"/>
        <v>1.5786521355877874E-2</v>
      </c>
      <c r="L97" s="44">
        <f t="shared" si="68"/>
        <v>1.5786521355877874E-2</v>
      </c>
      <c r="M97" s="44">
        <f t="shared" si="68"/>
        <v>1.5786521355877874E-2</v>
      </c>
      <c r="N97" s="44">
        <f t="shared" si="68"/>
        <v>1.5786521355877874E-2</v>
      </c>
      <c r="O97" s="44"/>
      <c r="P97" s="44"/>
    </row>
    <row r="98" spans="1:16" x14ac:dyDescent="0.3">
      <c r="A98" s="11" t="s">
        <v>142</v>
      </c>
      <c r="B98" s="51">
        <f>+Historicals!B146</f>
        <v>498</v>
      </c>
      <c r="C98" s="51">
        <f>+Historicals!C146</f>
        <v>639</v>
      </c>
      <c r="D98" s="51">
        <f>+Historicals!D146</f>
        <v>709</v>
      </c>
      <c r="E98" s="51">
        <f>+Historicals!E146</f>
        <v>849</v>
      </c>
      <c r="F98" s="51">
        <f>+Historicals!F146</f>
        <v>929</v>
      </c>
      <c r="G98" s="51">
        <f>+Historicals!G146</f>
        <v>885</v>
      </c>
      <c r="H98" s="51">
        <f>+Historicals!H146</f>
        <v>982</v>
      </c>
      <c r="I98" s="51">
        <f>+Historicals!I146</f>
        <v>920</v>
      </c>
      <c r="J98" s="10">
        <f>I98*(1+J99)</f>
        <v>920</v>
      </c>
      <c r="K98" s="10">
        <f>J98*(1+K99)</f>
        <v>920</v>
      </c>
      <c r="L98" s="10">
        <f>K98*(1+L99)</f>
        <v>920</v>
      </c>
      <c r="M98" s="10">
        <f>L98*(1+M99)</f>
        <v>920</v>
      </c>
      <c r="N98" s="10">
        <f>M98*(1+N99)</f>
        <v>920</v>
      </c>
      <c r="O98" s="10"/>
      <c r="P98" s="10"/>
    </row>
    <row r="99" spans="1:16" x14ac:dyDescent="0.3">
      <c r="A99" s="43" t="s">
        <v>135</v>
      </c>
      <c r="B99" t="str">
        <f>+IFERROR(B98/A98-1,"NM")</f>
        <v>NM</v>
      </c>
      <c r="C99" s="44">
        <f t="shared" ref="C99:I99" si="69">(C98-B98)/C98</f>
        <v>0.22065727699530516</v>
      </c>
      <c r="D99" s="44">
        <f t="shared" si="69"/>
        <v>9.8730606488011283E-2</v>
      </c>
      <c r="E99" s="44">
        <f t="shared" si="69"/>
        <v>0.16489988221436985</v>
      </c>
      <c r="F99" s="44">
        <f t="shared" si="69"/>
        <v>8.6114101184068897E-2</v>
      </c>
      <c r="G99" s="44">
        <f t="shared" si="69"/>
        <v>-4.9717514124293788E-2</v>
      </c>
      <c r="H99" s="44">
        <f t="shared" si="69"/>
        <v>9.8778004073319756E-2</v>
      </c>
      <c r="I99" s="44">
        <f t="shared" si="69"/>
        <v>-6.7391304347826086E-2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/>
      <c r="P99" s="44"/>
    </row>
    <row r="100" spans="1:16" x14ac:dyDescent="0.3">
      <c r="A100" s="43" t="s">
        <v>139</v>
      </c>
      <c r="B100" s="44">
        <f t="shared" ref="B100:N100" si="70">B98/B71</f>
        <v>6.9884928431097393E-2</v>
      </c>
      <c r="C100" s="44">
        <f t="shared" si="70"/>
        <v>8.4434460887949259E-2</v>
      </c>
      <c r="D100" s="44">
        <f t="shared" si="70"/>
        <v>8.8958594730238399E-2</v>
      </c>
      <c r="E100" s="44">
        <f t="shared" si="70"/>
        <v>9.1863233066435832E-2</v>
      </c>
      <c r="F100" s="44">
        <f t="shared" si="70"/>
        <v>9.4679983693436609E-2</v>
      </c>
      <c r="G100" s="44">
        <f t="shared" si="70"/>
        <v>9.4682785920616241E-2</v>
      </c>
      <c r="H100" s="44">
        <f t="shared" si="70"/>
        <v>8.5719273743016758E-2</v>
      </c>
      <c r="I100" s="44">
        <f t="shared" si="70"/>
        <v>7.37238560782114E-2</v>
      </c>
      <c r="J100" s="44">
        <f t="shared" si="70"/>
        <v>7.37238560782114E-2</v>
      </c>
      <c r="K100" s="44">
        <f t="shared" si="70"/>
        <v>7.37238560782114E-2</v>
      </c>
      <c r="L100" s="44">
        <f t="shared" si="70"/>
        <v>7.37238560782114E-2</v>
      </c>
      <c r="M100" s="44">
        <f t="shared" si="70"/>
        <v>7.37238560782114E-2</v>
      </c>
      <c r="N100" s="44">
        <f t="shared" si="70"/>
        <v>7.37238560782114E-2</v>
      </c>
      <c r="O100" s="44"/>
      <c r="P100" s="44"/>
    </row>
    <row r="101" spans="1:16" x14ac:dyDescent="0.3">
      <c r="A101" s="47" t="s">
        <v>116</v>
      </c>
      <c r="B101" s="47"/>
      <c r="C101" s="47"/>
      <c r="D101" s="47"/>
      <c r="E101" s="47"/>
      <c r="F101" s="47"/>
      <c r="G101" s="47"/>
      <c r="H101" s="47"/>
      <c r="I101" s="47"/>
      <c r="J101" s="41"/>
      <c r="K101" s="41"/>
      <c r="L101" s="41"/>
      <c r="M101" s="41"/>
      <c r="N101" s="41"/>
      <c r="O101" s="41"/>
      <c r="P101" s="41"/>
    </row>
    <row r="102" spans="1:16" x14ac:dyDescent="0.3">
      <c r="A102" s="11" t="s">
        <v>143</v>
      </c>
      <c r="B102" s="51">
        <f>+Historicals!B125</f>
        <v>1982</v>
      </c>
      <c r="C102" s="51">
        <f>+Historicals!C125</f>
        <v>1955</v>
      </c>
      <c r="D102" s="51">
        <f>+Historicals!D125</f>
        <v>2042</v>
      </c>
      <c r="E102" s="51">
        <f>+Historicals!E125</f>
        <v>1886</v>
      </c>
      <c r="F102" s="51">
        <f>+Historicals!F125</f>
        <v>1906</v>
      </c>
      <c r="G102" s="51">
        <f>+Historicals!G125</f>
        <v>1846</v>
      </c>
      <c r="H102" s="51">
        <f>+Historicals!H125</f>
        <v>2205</v>
      </c>
      <c r="I102" s="51">
        <f>+Historicals!I125</f>
        <v>2346</v>
      </c>
      <c r="J102" s="10">
        <f>I102*(1+J103)</f>
        <v>2346</v>
      </c>
      <c r="K102" s="10">
        <f>J102*(1+K103)</f>
        <v>2346</v>
      </c>
      <c r="L102" s="10">
        <f>K102*(1+L103)</f>
        <v>2346</v>
      </c>
      <c r="M102" s="10">
        <f>L102*(1+M103)</f>
        <v>2346</v>
      </c>
      <c r="N102" s="10">
        <f>M102*(1+N103)</f>
        <v>2346</v>
      </c>
      <c r="O102" s="10" t="s">
        <v>151</v>
      </c>
      <c r="P102" s="10"/>
    </row>
    <row r="103" spans="1:16" x14ac:dyDescent="0.3">
      <c r="A103" s="48" t="s">
        <v>135</v>
      </c>
      <c r="B103" t="str">
        <f>+IFERROR(B102/A102-1,"NM")</f>
        <v>NM</v>
      </c>
      <c r="C103" s="44">
        <f t="shared" ref="C103:I103" si="71">(C102-B102)/C102</f>
        <v>-1.3810741687979539E-2</v>
      </c>
      <c r="D103" s="44">
        <f t="shared" si="71"/>
        <v>4.2605288932419196E-2</v>
      </c>
      <c r="E103" s="44">
        <f t="shared" si="71"/>
        <v>-8.2714740190880168E-2</v>
      </c>
      <c r="F103" s="44">
        <f t="shared" si="71"/>
        <v>1.049317943336831E-2</v>
      </c>
      <c r="G103" s="44">
        <f t="shared" si="71"/>
        <v>-3.2502708559046585E-2</v>
      </c>
      <c r="H103" s="44">
        <f t="shared" si="71"/>
        <v>0.16281179138321997</v>
      </c>
      <c r="I103" s="44">
        <f t="shared" si="71"/>
        <v>6.010230179028133E-2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/>
      <c r="P103" s="44"/>
    </row>
    <row r="104" spans="1:16" x14ac:dyDescent="0.3">
      <c r="A104" s="49" t="s">
        <v>108</v>
      </c>
      <c r="B104" s="55">
        <f>+Historicals!B126</f>
        <v>18318</v>
      </c>
      <c r="C104" s="55">
        <f>+Historicals!C126</f>
        <v>19871</v>
      </c>
      <c r="D104" s="55">
        <f>+Historicals!D126</f>
        <v>21081</v>
      </c>
      <c r="E104" s="55">
        <f>+Historicals!E126</f>
        <v>22268</v>
      </c>
      <c r="F104" s="55">
        <f>+Historicals!F126</f>
        <v>25880</v>
      </c>
      <c r="G104" s="55">
        <f>+Historicals!G126</f>
        <v>24947</v>
      </c>
      <c r="H104" s="55">
        <f>+Historicals!H126</f>
        <v>1986</v>
      </c>
      <c r="I104" s="55">
        <f>+Historicals!I126</f>
        <v>2094</v>
      </c>
      <c r="J104">
        <f>I104*(1+J105)</f>
        <v>2094</v>
      </c>
      <c r="K104">
        <f>J104*(1+K105)</f>
        <v>2094</v>
      </c>
      <c r="L104">
        <f>K104*(1+L105)</f>
        <v>2094</v>
      </c>
      <c r="M104">
        <f>L104*(1+M105)</f>
        <v>2094</v>
      </c>
      <c r="N104">
        <f>M104*(1+N105)</f>
        <v>2094</v>
      </c>
    </row>
    <row r="105" spans="1:16" x14ac:dyDescent="0.3">
      <c r="A105" s="48" t="s">
        <v>135</v>
      </c>
      <c r="B105" t="str">
        <f>+IFERROR(B104/A104-1,"NM")</f>
        <v>NM</v>
      </c>
      <c r="C105" s="44">
        <f t="shared" ref="C105:I105" si="72">(C104-B104)/C104</f>
        <v>7.815409390569171E-2</v>
      </c>
      <c r="D105" s="44">
        <f t="shared" si="72"/>
        <v>5.7397656657653812E-2</v>
      </c>
      <c r="E105" s="44">
        <f t="shared" si="72"/>
        <v>5.3305191305909827E-2</v>
      </c>
      <c r="F105" s="44">
        <f t="shared" si="72"/>
        <v>0.13956723338485316</v>
      </c>
      <c r="G105" s="44">
        <f t="shared" si="72"/>
        <v>-3.7399286487353189E-2</v>
      </c>
      <c r="H105" s="44">
        <f t="shared" si="72"/>
        <v>-11.561430010070493</v>
      </c>
      <c r="I105" s="44">
        <f t="shared" si="72"/>
        <v>5.1575931232091692E-2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/>
      <c r="P105" s="44"/>
    </row>
    <row r="106" spans="1:16" x14ac:dyDescent="0.3">
      <c r="A106" s="48" t="s">
        <v>144</v>
      </c>
      <c r="B106" s="52">
        <f>+Historicals!B198</f>
        <v>0.13018262586377097</v>
      </c>
      <c r="C106" s="52">
        <f>+Historicals!C198</f>
        <v>8.4779997816355493E-2</v>
      </c>
      <c r="D106" s="52">
        <f>+Historicals!D198</f>
        <v>6.0892758290976803E-2</v>
      </c>
      <c r="E106" s="52">
        <f>+Historicals!E198</f>
        <v>5.6306626820359564E-2</v>
      </c>
      <c r="F106" s="52">
        <f>+Historicals!F198</f>
        <v>0.16220585593677025</v>
      </c>
      <c r="G106" s="52">
        <f>+Historicals!G198</f>
        <v>-3.6051004636785164E-2</v>
      </c>
      <c r="H106" s="52">
        <f>+Historicals!H198</f>
        <v>-0.92039122940634144</v>
      </c>
      <c r="I106" s="52">
        <f>+Historicals!I198</f>
        <v>0.06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/>
      <c r="P106" s="44"/>
    </row>
    <row r="107" spans="1:16" x14ac:dyDescent="0.3">
      <c r="A107" s="48" t="s">
        <v>145</v>
      </c>
      <c r="C107" s="44">
        <f t="shared" ref="C107:I107" si="73">C105-C106</f>
        <v>-6.6259039106637829E-3</v>
      </c>
      <c r="D107" s="44">
        <f t="shared" si="73"/>
        <v>-3.4951016333229917E-3</v>
      </c>
      <c r="E107" s="44">
        <f t="shared" si="73"/>
        <v>-3.0014355144497365E-3</v>
      </c>
      <c r="F107" s="44">
        <f t="shared" si="73"/>
        <v>-2.2638622551917092E-2</v>
      </c>
      <c r="G107" s="44">
        <f t="shared" si="73"/>
        <v>-1.3482818505680255E-3</v>
      </c>
      <c r="H107" s="44">
        <f t="shared" si="73"/>
        <v>-10.641038780664152</v>
      </c>
      <c r="I107" s="44">
        <f t="shared" si="73"/>
        <v>-8.4240687679083062E-3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/>
      <c r="P107" s="44"/>
    </row>
    <row r="108" spans="1:16" x14ac:dyDescent="0.3">
      <c r="A108" s="49" t="s">
        <v>109</v>
      </c>
      <c r="B108" s="55">
        <f>+Historicals!B127</f>
        <v>8637</v>
      </c>
      <c r="C108" s="55">
        <f>+Historicals!C127</f>
        <v>9067</v>
      </c>
      <c r="D108" s="55">
        <f>+Historicals!D127</f>
        <v>9654</v>
      </c>
      <c r="E108" s="55">
        <f>+Historicals!E127</f>
        <v>10733</v>
      </c>
      <c r="F108" s="55">
        <f>+Historicals!F127</f>
        <v>11668</v>
      </c>
      <c r="G108" s="55">
        <f>+Historicals!G127</f>
        <v>11042</v>
      </c>
      <c r="H108" s="55">
        <f>+Historicals!H127</f>
        <v>104</v>
      </c>
      <c r="I108" s="55">
        <f>+Historicals!I127</f>
        <v>103</v>
      </c>
      <c r="J108">
        <f>I108*(1+J109)</f>
        <v>103</v>
      </c>
      <c r="K108">
        <f>J108*(1+K109)</f>
        <v>103</v>
      </c>
      <c r="L108">
        <f>K108*(1+L109)</f>
        <v>103</v>
      </c>
      <c r="M108">
        <f>L108*(1+M109)</f>
        <v>103</v>
      </c>
      <c r="N108">
        <f>M108*(1+N109)</f>
        <v>103</v>
      </c>
    </row>
    <row r="109" spans="1:16" x14ac:dyDescent="0.3">
      <c r="A109" s="48" t="s">
        <v>135</v>
      </c>
      <c r="B109" t="str">
        <f>+IFERROR(B108/A108-1,"NM")</f>
        <v>NM</v>
      </c>
      <c r="C109" s="44">
        <f t="shared" ref="C109:I109" si="74">(C108-B108)/C108</f>
        <v>4.742472703209441E-2</v>
      </c>
      <c r="D109" s="44">
        <f t="shared" si="74"/>
        <v>6.080381189144396E-2</v>
      </c>
      <c r="E109" s="44">
        <f t="shared" si="74"/>
        <v>0.10053107239355259</v>
      </c>
      <c r="F109" s="44">
        <f t="shared" si="74"/>
        <v>8.013369900582791E-2</v>
      </c>
      <c r="G109" s="44">
        <f t="shared" si="74"/>
        <v>-5.6692628147074806E-2</v>
      </c>
      <c r="H109" s="44">
        <f t="shared" si="74"/>
        <v>-105.17307692307692</v>
      </c>
      <c r="I109" s="44">
        <f t="shared" si="74"/>
        <v>-9.7087378640776691E-3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/>
      <c r="P109" s="44"/>
    </row>
    <row r="110" spans="1:16" x14ac:dyDescent="0.3">
      <c r="A110" s="48" t="s">
        <v>144</v>
      </c>
      <c r="B110" s="52">
        <f>+Historicals!B199</f>
        <v>6.5112837587865333E-2</v>
      </c>
      <c r="C110" s="52">
        <f>+Historicals!C199</f>
        <v>4.978580525645479E-2</v>
      </c>
      <c r="D110" s="52">
        <f>+Historicals!D199</f>
        <v>6.4740266901952129E-2</v>
      </c>
      <c r="E110" s="52">
        <f>+Historicals!E199</f>
        <v>0.11176714315309716</v>
      </c>
      <c r="F110" s="52">
        <f>+Historicals!F199</f>
        <v>8.7114506661697566E-2</v>
      </c>
      <c r="G110" s="52">
        <f>+Historicals!G199</f>
        <v>-5.3651011312992804E-2</v>
      </c>
      <c r="H110" s="52">
        <f>+Historicals!H199</f>
        <v>-0.99058141641007069</v>
      </c>
      <c r="I110" s="52">
        <f>+Historicals!I199</f>
        <v>-0.03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/>
      <c r="P110" s="44"/>
    </row>
    <row r="111" spans="1:16" x14ac:dyDescent="0.3">
      <c r="A111" s="48" t="s">
        <v>145</v>
      </c>
      <c r="B111">
        <v>0</v>
      </c>
      <c r="C111" s="44">
        <f t="shared" ref="C111:I111" si="75">C109-C110</f>
        <v>-2.3610782243603801E-3</v>
      </c>
      <c r="D111" s="44">
        <f t="shared" si="75"/>
        <v>-3.9364550105081692E-3</v>
      </c>
      <c r="E111" s="44">
        <f t="shared" si="75"/>
        <v>-1.1236070759544567E-2</v>
      </c>
      <c r="F111" s="44">
        <f t="shared" si="75"/>
        <v>-6.9808076558696558E-3</v>
      </c>
      <c r="G111" s="44">
        <f t="shared" si="75"/>
        <v>-3.0416168340820018E-3</v>
      </c>
      <c r="H111" s="44">
        <f t="shared" si="75"/>
        <v>-104.18249550666685</v>
      </c>
      <c r="I111" s="44">
        <f t="shared" si="75"/>
        <v>2.029126213592233E-2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/>
      <c r="P111" s="44"/>
    </row>
    <row r="112" spans="1:16" x14ac:dyDescent="0.3">
      <c r="A112" s="49" t="s">
        <v>110</v>
      </c>
      <c r="B112" s="55">
        <f>+Historicals!B128</f>
        <v>1631</v>
      </c>
      <c r="C112" s="55">
        <f>+Historicals!C128</f>
        <v>1496</v>
      </c>
      <c r="D112" s="55">
        <f>+Historicals!D128</f>
        <v>1425</v>
      </c>
      <c r="E112" s="55">
        <f>+Historicals!E128</f>
        <v>1396</v>
      </c>
      <c r="F112" s="55">
        <f>+Historicals!F128</f>
        <v>1428</v>
      </c>
      <c r="G112" s="55">
        <f>+Historicals!G128</f>
        <v>1305</v>
      </c>
      <c r="H112" s="55">
        <f>+Historicals!H128</f>
        <v>29</v>
      </c>
      <c r="I112" s="55">
        <f>+Historicals!I128</f>
        <v>26</v>
      </c>
      <c r="J112">
        <f>I112*(1+J113)</f>
        <v>26</v>
      </c>
      <c r="K112">
        <f>J112*(1+K113)</f>
        <v>26</v>
      </c>
      <c r="L112">
        <f>K112*(1+L113)</f>
        <v>26</v>
      </c>
      <c r="M112">
        <f>L112*(1+M113)</f>
        <v>26</v>
      </c>
      <c r="N112">
        <f>M112*(1+N113)</f>
        <v>26</v>
      </c>
    </row>
    <row r="113" spans="1:16" x14ac:dyDescent="0.3">
      <c r="A113" s="48" t="s">
        <v>135</v>
      </c>
      <c r="B113" s="53" t="str">
        <f>+IFERROR(B112/A112-1,"NM")</f>
        <v>NM</v>
      </c>
      <c r="C113" s="54">
        <f t="shared" ref="C113:I113" si="76">(C112-B112)/C112</f>
        <v>-9.0240641711229946E-2</v>
      </c>
      <c r="D113" s="54">
        <f t="shared" si="76"/>
        <v>-4.9824561403508771E-2</v>
      </c>
      <c r="E113" s="54">
        <f t="shared" si="76"/>
        <v>-2.0773638968481375E-2</v>
      </c>
      <c r="F113" s="54">
        <f t="shared" si="76"/>
        <v>2.2408963585434174E-2</v>
      </c>
      <c r="G113" s="54">
        <f t="shared" si="76"/>
        <v>-9.4252873563218389E-2</v>
      </c>
      <c r="H113" s="54">
        <f t="shared" si="76"/>
        <v>-44</v>
      </c>
      <c r="I113" s="54">
        <f t="shared" si="76"/>
        <v>-0.11538461538461539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/>
      <c r="P113" s="44"/>
    </row>
    <row r="114" spans="1:16" x14ac:dyDescent="0.3">
      <c r="A114" s="48" t="s">
        <v>144</v>
      </c>
      <c r="B114" s="52">
        <f>+Historicals!B200</f>
        <v>-2.3353293413173652E-2</v>
      </c>
      <c r="C114" s="52">
        <f>+Historicals!C200</f>
        <v>-8.2771305947271612E-2</v>
      </c>
      <c r="D114" s="52">
        <f>+Historicals!D200</f>
        <v>-4.7459893048128345E-2</v>
      </c>
      <c r="E114" s="52">
        <f>+Historicals!E200</f>
        <v>-2.0350877192982456E-2</v>
      </c>
      <c r="F114" s="52">
        <f>+Historicals!F200</f>
        <v>2.2922636103151862E-2</v>
      </c>
      <c r="G114" s="52">
        <f>+Historicals!G200</f>
        <v>-8.6134453781512604E-2</v>
      </c>
      <c r="H114" s="52">
        <f>+Historicals!H200</f>
        <v>-0.97777777777777775</v>
      </c>
      <c r="I114" s="52">
        <f>+Historicals!I200</f>
        <v>-0.16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/>
      <c r="P114" s="44"/>
    </row>
    <row r="115" spans="1:16" x14ac:dyDescent="0.3">
      <c r="A115" s="48" t="s">
        <v>145</v>
      </c>
      <c r="B115">
        <v>0</v>
      </c>
      <c r="C115" s="44">
        <f t="shared" ref="C115:I115" si="77">C113-C114</f>
        <v>-7.4693357639583347E-3</v>
      </c>
      <c r="D115" s="44">
        <f t="shared" si="77"/>
        <v>-2.3646683553804268E-3</v>
      </c>
      <c r="E115" s="44">
        <f t="shared" si="77"/>
        <v>-4.2276177549891922E-4</v>
      </c>
      <c r="F115" s="44">
        <f t="shared" si="77"/>
        <v>-5.136725177176879E-4</v>
      </c>
      <c r="G115" s="44">
        <f t="shared" si="77"/>
        <v>-8.1184197817057852E-3</v>
      </c>
      <c r="H115" s="44">
        <f t="shared" si="77"/>
        <v>-43.022222222222226</v>
      </c>
      <c r="I115" s="44">
        <f t="shared" si="77"/>
        <v>4.4615384615384612E-2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/>
      <c r="P115" s="44"/>
    </row>
    <row r="116" spans="1:16" x14ac:dyDescent="0.3">
      <c r="A116" s="11" t="s">
        <v>136</v>
      </c>
      <c r="B116" s="10">
        <f t="shared" ref="B116:I116" si="78">B119+B123</f>
        <v>535</v>
      </c>
      <c r="C116" s="10">
        <f t="shared" si="78"/>
        <v>514</v>
      </c>
      <c r="D116" s="10">
        <f t="shared" si="78"/>
        <v>505</v>
      </c>
      <c r="E116" s="10">
        <f t="shared" si="78"/>
        <v>343</v>
      </c>
      <c r="F116" s="10">
        <f t="shared" si="78"/>
        <v>334</v>
      </c>
      <c r="G116" s="10">
        <f t="shared" si="78"/>
        <v>322</v>
      </c>
      <c r="H116" s="10">
        <f t="shared" si="78"/>
        <v>569</v>
      </c>
      <c r="I116" s="10">
        <f t="shared" si="78"/>
        <v>691</v>
      </c>
      <c r="J116" s="10">
        <f>I118*J102</f>
        <v>691</v>
      </c>
      <c r="K116" s="10">
        <f>J118*K102</f>
        <v>691</v>
      </c>
      <c r="L116" s="10">
        <f>K118*L102</f>
        <v>691</v>
      </c>
      <c r="M116" s="10">
        <f>L118*M102</f>
        <v>691</v>
      </c>
      <c r="N116" s="10">
        <f>M118*N102</f>
        <v>691</v>
      </c>
      <c r="O116" s="10" t="s">
        <v>149</v>
      </c>
      <c r="P116" s="10"/>
    </row>
    <row r="117" spans="1:16" x14ac:dyDescent="0.3">
      <c r="A117" s="43" t="s">
        <v>135</v>
      </c>
      <c r="B117" t="str">
        <f>+IFERROR(B116/A116-1,"NM")</f>
        <v>NM</v>
      </c>
      <c r="C117" s="44">
        <f t="shared" ref="C117:I117" si="79">(C116-B116)/C116</f>
        <v>-4.085603112840467E-2</v>
      </c>
      <c r="D117" s="44">
        <f t="shared" si="79"/>
        <v>-1.782178217821782E-2</v>
      </c>
      <c r="E117" s="44">
        <f t="shared" si="79"/>
        <v>-0.47230320699708456</v>
      </c>
      <c r="F117" s="44">
        <f t="shared" si="79"/>
        <v>-2.6946107784431138E-2</v>
      </c>
      <c r="G117" s="44">
        <f t="shared" si="79"/>
        <v>-3.7267080745341616E-2</v>
      </c>
      <c r="H117" s="44">
        <f t="shared" si="79"/>
        <v>0.43409490333919154</v>
      </c>
      <c r="I117" s="44">
        <f t="shared" si="79"/>
        <v>0.17655571635311143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/>
      <c r="P117" s="44"/>
    </row>
    <row r="118" spans="1:16" x14ac:dyDescent="0.3">
      <c r="A118" s="43" t="s">
        <v>137</v>
      </c>
      <c r="B118" s="44">
        <f t="shared" ref="B118:N118" si="80">B116/B102</f>
        <v>0.26992936427850656</v>
      </c>
      <c r="C118" s="44">
        <f t="shared" si="80"/>
        <v>0.26291560102301792</v>
      </c>
      <c r="D118" s="44">
        <f t="shared" si="80"/>
        <v>0.24730656219392752</v>
      </c>
      <c r="E118" s="44">
        <f t="shared" si="80"/>
        <v>0.18186638388123011</v>
      </c>
      <c r="F118" s="44">
        <f t="shared" si="80"/>
        <v>0.17523609653725078</v>
      </c>
      <c r="G118" s="44">
        <f t="shared" si="80"/>
        <v>0.17443120260021669</v>
      </c>
      <c r="H118" s="44">
        <f t="shared" si="80"/>
        <v>0.25804988662131517</v>
      </c>
      <c r="I118" s="44">
        <f t="shared" si="80"/>
        <v>0.29454390451832907</v>
      </c>
      <c r="J118" s="44">
        <f t="shared" si="80"/>
        <v>0.29454390451832907</v>
      </c>
      <c r="K118" s="44">
        <f t="shared" si="80"/>
        <v>0.29454390451832907</v>
      </c>
      <c r="L118" s="44">
        <f t="shared" si="80"/>
        <v>0.29454390451832907</v>
      </c>
      <c r="M118" s="44">
        <f t="shared" si="80"/>
        <v>0.29454390451832907</v>
      </c>
      <c r="N118" s="44">
        <f t="shared" si="80"/>
        <v>0.29454390451832907</v>
      </c>
      <c r="O118" s="44" t="s">
        <v>150</v>
      </c>
      <c r="P118" s="44"/>
    </row>
    <row r="119" spans="1:16" x14ac:dyDescent="0.3">
      <c r="A119" s="11" t="s">
        <v>138</v>
      </c>
      <c r="B119" s="51">
        <f>+Historicals!B173</f>
        <v>18</v>
      </c>
      <c r="C119" s="51">
        <f>+Historicals!C173</f>
        <v>27</v>
      </c>
      <c r="D119" s="51">
        <f>+Historicals!D173</f>
        <v>28</v>
      </c>
      <c r="E119" s="51">
        <f>+Historicals!E173</f>
        <v>33</v>
      </c>
      <c r="F119" s="51">
        <f>+Historicals!F173</f>
        <v>31</v>
      </c>
      <c r="G119" s="51">
        <f>+Historicals!G173</f>
        <v>25</v>
      </c>
      <c r="H119" s="51">
        <f>+Historicals!H173</f>
        <v>26</v>
      </c>
      <c r="I119" s="51">
        <f>+Historicals!I173</f>
        <v>22</v>
      </c>
      <c r="J119" s="10">
        <f>I119*(1+J120)</f>
        <v>22</v>
      </c>
      <c r="K119" s="10">
        <f>J119*(1+K120)</f>
        <v>22</v>
      </c>
      <c r="L119" s="10">
        <f>K119*(1+L120)</f>
        <v>22</v>
      </c>
      <c r="M119" s="10">
        <f>L119*(1+M120)</f>
        <v>22</v>
      </c>
      <c r="N119" s="10">
        <f>M119*(1+N120)</f>
        <v>22</v>
      </c>
      <c r="O119" s="10"/>
      <c r="P119" s="10"/>
    </row>
    <row r="120" spans="1:16" x14ac:dyDescent="0.3">
      <c r="A120" s="43" t="s">
        <v>135</v>
      </c>
      <c r="B120" t="str">
        <f>+IFERROR(B119/A119-1,"NM")</f>
        <v>NM</v>
      </c>
      <c r="C120" s="44">
        <f t="shared" ref="C120:I120" si="81">(C119-B119)/C119</f>
        <v>0.33333333333333331</v>
      </c>
      <c r="D120" s="44">
        <f t="shared" si="81"/>
        <v>3.5714285714285712E-2</v>
      </c>
      <c r="E120" s="44">
        <f t="shared" si="81"/>
        <v>0.15151515151515152</v>
      </c>
      <c r="F120" s="44">
        <f t="shared" si="81"/>
        <v>-6.4516129032258063E-2</v>
      </c>
      <c r="G120" s="44">
        <f t="shared" si="81"/>
        <v>-0.24</v>
      </c>
      <c r="H120" s="44">
        <f t="shared" si="81"/>
        <v>3.8461538461538464E-2</v>
      </c>
      <c r="I120" s="44">
        <f t="shared" si="81"/>
        <v>-0.18181818181818182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/>
      <c r="P120" s="44"/>
    </row>
    <row r="121" spans="1:16" x14ac:dyDescent="0.3">
      <c r="A121" s="43" t="s">
        <v>139</v>
      </c>
      <c r="B121" s="44">
        <f t="shared" ref="B121:N121" si="82">B119/B102</f>
        <v>9.0817356205852677E-3</v>
      </c>
      <c r="C121" s="44">
        <f t="shared" si="82"/>
        <v>1.3810741687979539E-2</v>
      </c>
      <c r="D121" s="44">
        <f t="shared" si="82"/>
        <v>1.3712047012732615E-2</v>
      </c>
      <c r="E121" s="44">
        <f t="shared" si="82"/>
        <v>1.7497348886532343E-2</v>
      </c>
      <c r="F121" s="44">
        <f t="shared" si="82"/>
        <v>1.6264428121720881E-2</v>
      </c>
      <c r="G121" s="44">
        <f t="shared" si="82"/>
        <v>1.3542795232936078E-2</v>
      </c>
      <c r="H121" s="44">
        <f t="shared" si="82"/>
        <v>1.1791383219954649E-2</v>
      </c>
      <c r="I121" s="44">
        <f t="shared" si="82"/>
        <v>9.3776641091219103E-3</v>
      </c>
      <c r="J121" s="44">
        <f t="shared" si="82"/>
        <v>9.3776641091219103E-3</v>
      </c>
      <c r="K121" s="44">
        <f t="shared" si="82"/>
        <v>9.3776641091219103E-3</v>
      </c>
      <c r="L121" s="44">
        <f t="shared" si="82"/>
        <v>9.3776641091219103E-3</v>
      </c>
      <c r="M121" s="44">
        <f t="shared" si="82"/>
        <v>9.3776641091219103E-3</v>
      </c>
      <c r="N121" s="44">
        <f t="shared" si="82"/>
        <v>9.3776641091219103E-3</v>
      </c>
      <c r="O121" s="44"/>
      <c r="P121" s="44"/>
    </row>
    <row r="122" spans="1:16" x14ac:dyDescent="0.3">
      <c r="A122" s="43" t="s">
        <v>146</v>
      </c>
      <c r="B122" s="44">
        <f t="shared" ref="B122:N122" si="83">B119/B129</f>
        <v>0.14754098360655737</v>
      </c>
      <c r="C122" s="44">
        <f t="shared" si="83"/>
        <v>0.216</v>
      </c>
      <c r="D122" s="44">
        <f t="shared" si="83"/>
        <v>0.224</v>
      </c>
      <c r="E122" s="44">
        <f t="shared" si="83"/>
        <v>0.28695652173913044</v>
      </c>
      <c r="F122" s="44">
        <f t="shared" si="83"/>
        <v>0.31</v>
      </c>
      <c r="G122" s="44">
        <f t="shared" si="83"/>
        <v>0.3125</v>
      </c>
      <c r="H122" s="44">
        <f t="shared" si="83"/>
        <v>0.41269841269841268</v>
      </c>
      <c r="I122" s="44">
        <f t="shared" si="83"/>
        <v>0.44897959183673469</v>
      </c>
      <c r="J122" s="44">
        <f t="shared" si="83"/>
        <v>0.44897959183673469</v>
      </c>
      <c r="K122" s="44">
        <f t="shared" si="83"/>
        <v>0.44897959183673469</v>
      </c>
      <c r="L122" s="44">
        <f t="shared" si="83"/>
        <v>0.44897959183673469</v>
      </c>
      <c r="M122" s="44">
        <f t="shared" si="83"/>
        <v>0.44897959183673469</v>
      </c>
      <c r="N122" s="44">
        <f t="shared" si="83"/>
        <v>0.44897959183673469</v>
      </c>
      <c r="O122" s="44"/>
      <c r="P122" s="44"/>
    </row>
    <row r="123" spans="1:16" x14ac:dyDescent="0.3">
      <c r="A123" s="11" t="s">
        <v>140</v>
      </c>
      <c r="B123" s="51">
        <f>+Historicals!B140</f>
        <v>517</v>
      </c>
      <c r="C123" s="51">
        <f>+Historicals!C140</f>
        <v>487</v>
      </c>
      <c r="D123" s="51">
        <f>+Historicals!D140</f>
        <v>477</v>
      </c>
      <c r="E123" s="51">
        <f>+Historicals!E140</f>
        <v>310</v>
      </c>
      <c r="F123" s="51">
        <f>+Historicals!F140</f>
        <v>303</v>
      </c>
      <c r="G123" s="51">
        <f>+Historicals!G140</f>
        <v>297</v>
      </c>
      <c r="H123" s="51">
        <f>+Historicals!H140</f>
        <v>543</v>
      </c>
      <c r="I123" s="51">
        <f>+Historicals!I140</f>
        <v>669</v>
      </c>
      <c r="J123" s="10">
        <f>I116-I119</f>
        <v>669</v>
      </c>
      <c r="K123" s="10">
        <f>J116-J119</f>
        <v>669</v>
      </c>
      <c r="L123" s="10">
        <f>K116-K119</f>
        <v>669</v>
      </c>
      <c r="M123" s="10">
        <f>L116-L119</f>
        <v>669</v>
      </c>
      <c r="N123" s="10">
        <f>M116-M119</f>
        <v>669</v>
      </c>
      <c r="O123" s="10"/>
      <c r="P123" s="10"/>
    </row>
    <row r="124" spans="1:16" x14ac:dyDescent="0.3">
      <c r="A124" s="43" t="s">
        <v>135</v>
      </c>
      <c r="B124" t="str">
        <f>+IFERROR(B123/A123-1,"NM")</f>
        <v>NM</v>
      </c>
      <c r="C124" s="44">
        <f t="shared" ref="C124:I124" si="84">(C123-B123)/C123</f>
        <v>-6.1601642710472276E-2</v>
      </c>
      <c r="D124" s="44">
        <f t="shared" si="84"/>
        <v>-2.0964360587002098E-2</v>
      </c>
      <c r="E124" s="44">
        <f t="shared" si="84"/>
        <v>-0.53870967741935483</v>
      </c>
      <c r="F124" s="44">
        <f t="shared" si="84"/>
        <v>-2.3102310231023101E-2</v>
      </c>
      <c r="G124" s="44">
        <f t="shared" si="84"/>
        <v>-2.0202020202020204E-2</v>
      </c>
      <c r="H124" s="44">
        <f t="shared" si="84"/>
        <v>0.45303867403314918</v>
      </c>
      <c r="I124" s="44">
        <f t="shared" si="84"/>
        <v>0.18834080717488788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/>
      <c r="P124" s="44"/>
    </row>
    <row r="125" spans="1:16" x14ac:dyDescent="0.3">
      <c r="A125" s="43" t="s">
        <v>137</v>
      </c>
      <c r="B125" s="44">
        <f t="shared" ref="B125:N125" si="85">B123/B102</f>
        <v>0.26084762865792127</v>
      </c>
      <c r="C125" s="44">
        <f t="shared" si="85"/>
        <v>0.24910485933503837</v>
      </c>
      <c r="D125" s="44">
        <f t="shared" si="85"/>
        <v>0.23359451518119489</v>
      </c>
      <c r="E125" s="44">
        <f t="shared" si="85"/>
        <v>0.16436903499469777</v>
      </c>
      <c r="F125" s="44">
        <f t="shared" si="85"/>
        <v>0.1589716684155299</v>
      </c>
      <c r="G125" s="44">
        <f t="shared" si="85"/>
        <v>0.16088840736728061</v>
      </c>
      <c r="H125" s="44">
        <f t="shared" si="85"/>
        <v>0.24625850340136055</v>
      </c>
      <c r="I125" s="44">
        <f t="shared" si="85"/>
        <v>0.28516624040920718</v>
      </c>
      <c r="J125" s="44">
        <f t="shared" si="85"/>
        <v>0.28516624040920718</v>
      </c>
      <c r="K125" s="44">
        <f t="shared" si="85"/>
        <v>0.28516624040920718</v>
      </c>
      <c r="L125" s="44">
        <f t="shared" si="85"/>
        <v>0.28516624040920718</v>
      </c>
      <c r="M125" s="44">
        <f t="shared" si="85"/>
        <v>0.28516624040920718</v>
      </c>
      <c r="N125" s="44">
        <f t="shared" si="85"/>
        <v>0.28516624040920718</v>
      </c>
      <c r="O125" s="44"/>
      <c r="P125" s="44"/>
    </row>
    <row r="126" spans="1:16" x14ac:dyDescent="0.3">
      <c r="A126" s="11" t="s">
        <v>141</v>
      </c>
      <c r="B126" s="51">
        <v>69</v>
      </c>
      <c r="C126" s="51">
        <v>39</v>
      </c>
      <c r="D126" s="51">
        <v>30</v>
      </c>
      <c r="E126" s="51">
        <v>22</v>
      </c>
      <c r="F126" s="51">
        <v>18</v>
      </c>
      <c r="G126" s="51">
        <v>12</v>
      </c>
      <c r="H126" s="51">
        <v>7</v>
      </c>
      <c r="I126" s="51">
        <v>9</v>
      </c>
      <c r="J126" s="10">
        <f>I126*(1+J127)</f>
        <v>9</v>
      </c>
      <c r="K126" s="10">
        <f>J126*(1+K127)</f>
        <v>9</v>
      </c>
      <c r="L126" s="10">
        <f>K126*(1+L127)</f>
        <v>9</v>
      </c>
      <c r="M126" s="10">
        <f>L126*(1+M127)</f>
        <v>9</v>
      </c>
      <c r="N126" s="10">
        <f>M126*(1+N127)</f>
        <v>9</v>
      </c>
      <c r="O126" s="10"/>
      <c r="P126" s="10"/>
    </row>
    <row r="127" spans="1:16" x14ac:dyDescent="0.3">
      <c r="A127" s="43" t="s">
        <v>135</v>
      </c>
      <c r="B127" t="str">
        <f>+IFERROR(B126/A126-1,"NM")</f>
        <v>NM</v>
      </c>
      <c r="C127" s="44">
        <f t="shared" ref="C127:I127" si="86">(C126-B126)/C126</f>
        <v>-0.76923076923076927</v>
      </c>
      <c r="D127" s="44">
        <f t="shared" si="86"/>
        <v>-0.3</v>
      </c>
      <c r="E127" s="44">
        <f t="shared" si="86"/>
        <v>-0.36363636363636365</v>
      </c>
      <c r="F127" s="44">
        <f t="shared" si="86"/>
        <v>-0.22222222222222221</v>
      </c>
      <c r="G127" s="44">
        <f t="shared" si="86"/>
        <v>-0.5</v>
      </c>
      <c r="H127" s="44">
        <f t="shared" si="86"/>
        <v>-0.7142857142857143</v>
      </c>
      <c r="I127" s="44">
        <f t="shared" si="86"/>
        <v>0.22222222222222221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/>
      <c r="P127" s="44"/>
    </row>
    <row r="128" spans="1:16" x14ac:dyDescent="0.3">
      <c r="A128" s="43" t="s">
        <v>139</v>
      </c>
      <c r="B128" s="44">
        <f t="shared" ref="B128:N128" si="87">B126/B102</f>
        <v>3.481331987891019E-2</v>
      </c>
      <c r="C128" s="44">
        <f t="shared" si="87"/>
        <v>1.9948849104859334E-2</v>
      </c>
      <c r="D128" s="44">
        <f t="shared" si="87"/>
        <v>1.4691478942213516E-2</v>
      </c>
      <c r="E128" s="44">
        <f t="shared" si="87"/>
        <v>1.166489925768823E-2</v>
      </c>
      <c r="F128" s="44">
        <f t="shared" si="87"/>
        <v>9.4438614900314802E-3</v>
      </c>
      <c r="G128" s="44">
        <f t="shared" si="87"/>
        <v>6.5005417118093175E-3</v>
      </c>
      <c r="H128" s="44">
        <f t="shared" si="87"/>
        <v>3.1746031746031746E-3</v>
      </c>
      <c r="I128" s="44">
        <f t="shared" si="87"/>
        <v>3.8363171355498722E-3</v>
      </c>
      <c r="J128" s="44">
        <f t="shared" si="87"/>
        <v>3.8363171355498722E-3</v>
      </c>
      <c r="K128" s="44">
        <f t="shared" si="87"/>
        <v>3.8363171355498722E-3</v>
      </c>
      <c r="L128" s="44">
        <f t="shared" si="87"/>
        <v>3.8363171355498722E-3</v>
      </c>
      <c r="M128" s="44">
        <f t="shared" si="87"/>
        <v>3.8363171355498722E-3</v>
      </c>
      <c r="N128" s="44">
        <f t="shared" si="87"/>
        <v>3.8363171355498722E-3</v>
      </c>
      <c r="O128" s="44"/>
      <c r="P128" s="44"/>
    </row>
    <row r="129" spans="1:16" x14ac:dyDescent="0.3">
      <c r="A129" s="11" t="s">
        <v>142</v>
      </c>
      <c r="B129" s="51">
        <f>+Historicals!B151</f>
        <v>122</v>
      </c>
      <c r="C129" s="51">
        <f>+Historicals!C151</f>
        <v>125</v>
      </c>
      <c r="D129" s="51">
        <f>+Historicals!D151</f>
        <v>125</v>
      </c>
      <c r="E129" s="51">
        <f>+Historicals!E151</f>
        <v>115</v>
      </c>
      <c r="F129" s="51">
        <f>+Historicals!F151</f>
        <v>100</v>
      </c>
      <c r="G129" s="51">
        <f>+Historicals!G151</f>
        <v>80</v>
      </c>
      <c r="H129" s="51">
        <f>+Historicals!H151</f>
        <v>63</v>
      </c>
      <c r="I129" s="51">
        <f>+Historicals!I151</f>
        <v>49</v>
      </c>
      <c r="J129" s="10">
        <f>I129*(1+J130)</f>
        <v>49</v>
      </c>
      <c r="K129" s="10">
        <f>J129*(1+K130)</f>
        <v>49</v>
      </c>
      <c r="L129" s="10">
        <f>K129*(1+L130)</f>
        <v>49</v>
      </c>
      <c r="M129" s="10">
        <f>L129*(1+M130)</f>
        <v>49</v>
      </c>
      <c r="N129" s="10">
        <f>M129*(1+N130)</f>
        <v>49</v>
      </c>
      <c r="O129" s="10"/>
      <c r="P129" s="10"/>
    </row>
    <row r="130" spans="1:16" x14ac:dyDescent="0.3">
      <c r="A130" s="43" t="s">
        <v>135</v>
      </c>
      <c r="B130" t="str">
        <f>+IFERROR(B129/A129-1,"NM")</f>
        <v>NM</v>
      </c>
      <c r="C130" s="44">
        <f t="shared" ref="C130:I130" si="88">(C129-B129)/C129</f>
        <v>2.4E-2</v>
      </c>
      <c r="D130" s="44">
        <f t="shared" si="88"/>
        <v>0</v>
      </c>
      <c r="E130" s="44">
        <f t="shared" si="88"/>
        <v>-8.6956521739130432E-2</v>
      </c>
      <c r="F130" s="44">
        <f t="shared" si="88"/>
        <v>-0.15</v>
      </c>
      <c r="G130" s="44">
        <f t="shared" si="88"/>
        <v>-0.25</v>
      </c>
      <c r="H130" s="44">
        <f t="shared" si="88"/>
        <v>-0.26984126984126983</v>
      </c>
      <c r="I130" s="44">
        <f t="shared" si="88"/>
        <v>-0.2857142857142857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/>
      <c r="P130" s="44"/>
    </row>
    <row r="131" spans="1:16" x14ac:dyDescent="0.3">
      <c r="A131" s="43" t="s">
        <v>139</v>
      </c>
      <c r="B131" s="44">
        <f t="shared" ref="B131:N131" si="89">B129/B102</f>
        <v>6.1553985872855703E-2</v>
      </c>
      <c r="C131" s="44">
        <f t="shared" si="89"/>
        <v>6.3938618925831206E-2</v>
      </c>
      <c r="D131" s="44">
        <f t="shared" si="89"/>
        <v>6.1214495592556317E-2</v>
      </c>
      <c r="E131" s="44">
        <f t="shared" si="89"/>
        <v>6.097560975609756E-2</v>
      </c>
      <c r="F131" s="44">
        <f t="shared" si="89"/>
        <v>5.2465897166841552E-2</v>
      </c>
      <c r="G131" s="44">
        <f t="shared" si="89"/>
        <v>4.3336944745395449E-2</v>
      </c>
      <c r="H131" s="44">
        <f t="shared" si="89"/>
        <v>2.8571428571428571E-2</v>
      </c>
      <c r="I131" s="44">
        <f t="shared" si="89"/>
        <v>2.0886615515771527E-2</v>
      </c>
      <c r="J131" s="44">
        <f t="shared" si="89"/>
        <v>2.0886615515771527E-2</v>
      </c>
      <c r="K131" s="44">
        <f t="shared" si="89"/>
        <v>2.0886615515771527E-2</v>
      </c>
      <c r="L131" s="44">
        <f t="shared" si="89"/>
        <v>2.0886615515771527E-2</v>
      </c>
      <c r="M131" s="44">
        <f t="shared" si="89"/>
        <v>2.0886615515771527E-2</v>
      </c>
      <c r="N131" s="44">
        <f t="shared" si="89"/>
        <v>2.0886615515771527E-2</v>
      </c>
      <c r="O131" s="44"/>
      <c r="P131" s="44"/>
    </row>
    <row r="132" spans="1:16" x14ac:dyDescent="0.3">
      <c r="A132" s="47" t="s">
        <v>112</v>
      </c>
      <c r="B132" s="47"/>
      <c r="C132" s="47"/>
      <c r="D132" s="47"/>
      <c r="E132" s="47"/>
      <c r="F132" s="47"/>
      <c r="G132" s="47"/>
      <c r="H132" s="47"/>
      <c r="I132" s="47"/>
      <c r="J132" s="41"/>
      <c r="K132" s="41"/>
      <c r="L132" s="41"/>
      <c r="M132" s="41"/>
      <c r="N132" s="41"/>
      <c r="O132" s="41"/>
      <c r="P132" s="41"/>
    </row>
    <row r="133" spans="1:16" x14ac:dyDescent="0.3">
      <c r="A133" s="11" t="s">
        <v>143</v>
      </c>
      <c r="B133" s="10">
        <f t="shared" ref="B133:I133" si="90">B135+B139+B143</f>
        <v>3067</v>
      </c>
      <c r="C133" s="10">
        <f t="shared" si="90"/>
        <v>3785</v>
      </c>
      <c r="D133" s="10">
        <f t="shared" si="90"/>
        <v>4237</v>
      </c>
      <c r="E133" s="10">
        <f t="shared" si="90"/>
        <v>5134</v>
      </c>
      <c r="F133" s="10">
        <f t="shared" si="90"/>
        <v>6208</v>
      </c>
      <c r="G133" s="10">
        <f t="shared" si="90"/>
        <v>6679</v>
      </c>
      <c r="H133" s="10">
        <f t="shared" si="90"/>
        <v>8290</v>
      </c>
      <c r="I133" s="10">
        <f t="shared" si="90"/>
        <v>7547</v>
      </c>
      <c r="J133" s="10">
        <f>I133*(1+J134)</f>
        <v>7547</v>
      </c>
      <c r="K133" s="10">
        <f>J133*(1+K134)</f>
        <v>7547</v>
      </c>
      <c r="L133" s="10">
        <f>K133*(1+L134)</f>
        <v>7547</v>
      </c>
      <c r="M133" s="10">
        <f>L133*(1+M134)</f>
        <v>7547</v>
      </c>
      <c r="N133" s="10">
        <f>M133*(1+N134)</f>
        <v>7547</v>
      </c>
      <c r="O133" s="10" t="s">
        <v>151</v>
      </c>
      <c r="P133" s="10"/>
    </row>
    <row r="134" spans="1:16" x14ac:dyDescent="0.3">
      <c r="A134" s="48" t="s">
        <v>135</v>
      </c>
      <c r="B134" t="str">
        <f>+IFERROR(B133/A133-1,"NM")</f>
        <v>NM</v>
      </c>
      <c r="C134" s="44">
        <f t="shared" ref="C134:I134" si="91">(C133-B133)/C133</f>
        <v>0.18969616908850725</v>
      </c>
      <c r="D134" s="44">
        <f t="shared" si="91"/>
        <v>0.10667925418928487</v>
      </c>
      <c r="E134" s="44">
        <f t="shared" si="91"/>
        <v>0.17471756914686404</v>
      </c>
      <c r="F134" s="44">
        <f t="shared" si="91"/>
        <v>0.17300257731958762</v>
      </c>
      <c r="G134" s="44">
        <f t="shared" si="91"/>
        <v>7.0519538853121719E-2</v>
      </c>
      <c r="H134" s="44">
        <f t="shared" si="91"/>
        <v>0.19433051869722556</v>
      </c>
      <c r="I134" s="44">
        <f t="shared" si="91"/>
        <v>-9.8449715118590173E-2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/>
      <c r="P134" s="44"/>
    </row>
    <row r="135" spans="1:16" x14ac:dyDescent="0.3">
      <c r="A135" s="49" t="s">
        <v>108</v>
      </c>
      <c r="B135">
        <f>+Historicals!B116</f>
        <v>2016</v>
      </c>
      <c r="C135">
        <f>+Historicals!C116</f>
        <v>2599</v>
      </c>
      <c r="D135">
        <f>+Historicals!D116</f>
        <v>2920</v>
      </c>
      <c r="E135">
        <f>+Historicals!E116</f>
        <v>3496</v>
      </c>
      <c r="F135">
        <f>+Historicals!F116</f>
        <v>4262</v>
      </c>
      <c r="G135">
        <f>+Historicals!G116</f>
        <v>4635</v>
      </c>
      <c r="H135" s="20">
        <f>+Historicals!H116</f>
        <v>5748</v>
      </c>
      <c r="I135" s="20">
        <f>+Historicals!I116</f>
        <v>5416</v>
      </c>
      <c r="J135">
        <f>I135*(1+J136)</f>
        <v>5416</v>
      </c>
      <c r="K135">
        <f>J135*(1+K136)</f>
        <v>5416</v>
      </c>
      <c r="L135">
        <f>K135*(1+L136)</f>
        <v>5416</v>
      </c>
      <c r="M135">
        <f>L135*(1+M136)</f>
        <v>5416</v>
      </c>
      <c r="N135">
        <f>M135*(1+N136)</f>
        <v>5416</v>
      </c>
    </row>
    <row r="136" spans="1:16" x14ac:dyDescent="0.3">
      <c r="A136" s="48" t="s">
        <v>135</v>
      </c>
      <c r="B136" t="str">
        <f>+IFERROR(B135/A135-1,"NM")</f>
        <v>NM</v>
      </c>
      <c r="C136" s="44">
        <f t="shared" ref="C136:I136" si="92">(C135-B135)/C135</f>
        <v>0.22431704501731436</v>
      </c>
      <c r="D136" s="44">
        <f t="shared" si="92"/>
        <v>0.10993150684931507</v>
      </c>
      <c r="E136" s="44">
        <f t="shared" si="92"/>
        <v>0.16475972540045766</v>
      </c>
      <c r="F136" s="44">
        <f t="shared" si="92"/>
        <v>0.17972782731112155</v>
      </c>
      <c r="G136" s="44">
        <f t="shared" si="92"/>
        <v>8.0474649406688248E-2</v>
      </c>
      <c r="H136" s="44">
        <f t="shared" si="92"/>
        <v>0.19363256784968685</v>
      </c>
      <c r="I136" s="44">
        <f t="shared" si="92"/>
        <v>-6.1299852289512555E-2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/>
      <c r="P136" s="44"/>
    </row>
    <row r="137" spans="1:16" x14ac:dyDescent="0.3">
      <c r="A137" s="48" t="s">
        <v>144</v>
      </c>
      <c r="B137" s="52">
        <f>+Historicals!B188</f>
        <v>0.26</v>
      </c>
      <c r="C137" s="52">
        <f>+Historicals!C188</f>
        <v>0.28918650793650796</v>
      </c>
      <c r="D137" s="52">
        <f>+Historicals!D188</f>
        <v>0.12350904193920739</v>
      </c>
      <c r="E137" s="52">
        <f>+Historicals!E188</f>
        <v>0.19726027397260273</v>
      </c>
      <c r="F137" s="52">
        <f>+Historicals!F188</f>
        <v>0.21910755148741418</v>
      </c>
      <c r="G137" s="52">
        <f>+Historicals!G188</f>
        <v>8.7517597372125763E-2</v>
      </c>
      <c r="H137" s="52">
        <f>+Historicals!H188</f>
        <v>0.24012944983818771</v>
      </c>
      <c r="I137" s="52">
        <f>+Historicals!I188</f>
        <v>-0.1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/>
      <c r="P137" s="44"/>
    </row>
    <row r="138" spans="1:16" x14ac:dyDescent="0.3">
      <c r="A138" s="48" t="s">
        <v>145</v>
      </c>
      <c r="B138" s="44">
        <v>0</v>
      </c>
      <c r="C138" s="44">
        <f t="shared" ref="C138:I138" si="93">C136-C137</f>
        <v>-6.4869462919193599E-2</v>
      </c>
      <c r="D138" s="44">
        <f t="shared" si="93"/>
        <v>-1.3577535089892317E-2</v>
      </c>
      <c r="E138" s="44">
        <f t="shared" si="93"/>
        <v>-3.2500548572145072E-2</v>
      </c>
      <c r="F138" s="44">
        <f t="shared" si="93"/>
        <v>-3.9379724176292624E-2</v>
      </c>
      <c r="G138" s="44">
        <f t="shared" si="93"/>
        <v>-7.0429479654375154E-3</v>
      </c>
      <c r="H138" s="44">
        <f t="shared" si="93"/>
        <v>-4.6496881988500854E-2</v>
      </c>
      <c r="I138" s="44">
        <f t="shared" si="93"/>
        <v>3.8700147710487451E-2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/>
      <c r="P138" s="44"/>
    </row>
    <row r="139" spans="1:16" x14ac:dyDescent="0.3">
      <c r="A139" s="49" t="s">
        <v>109</v>
      </c>
      <c r="B139">
        <f>+Historicals!B117</f>
        <v>925</v>
      </c>
      <c r="C139">
        <f>+Historicals!C117</f>
        <v>1055</v>
      </c>
      <c r="D139">
        <f>+Historicals!D117</f>
        <v>1188</v>
      </c>
      <c r="E139">
        <f>+Historicals!E117</f>
        <v>1508</v>
      </c>
      <c r="F139">
        <f>+Historicals!F117</f>
        <v>1808</v>
      </c>
      <c r="G139">
        <f>+Historicals!G117</f>
        <v>1896</v>
      </c>
      <c r="H139" s="20">
        <f>+Historicals!H117</f>
        <v>2347</v>
      </c>
      <c r="I139" s="20">
        <f>+Historicals!I117</f>
        <v>1938</v>
      </c>
      <c r="J139">
        <f>I139*(1+J140)</f>
        <v>1938</v>
      </c>
      <c r="K139">
        <f>J139*(1+K140)</f>
        <v>1938</v>
      </c>
      <c r="L139">
        <f>K139*(1+L140)</f>
        <v>1938</v>
      </c>
      <c r="M139">
        <f>L139*(1+M140)</f>
        <v>1938</v>
      </c>
      <c r="N139">
        <f>M139*(1+N140)</f>
        <v>1938</v>
      </c>
    </row>
    <row r="140" spans="1:16" x14ac:dyDescent="0.3">
      <c r="A140" s="48" t="s">
        <v>135</v>
      </c>
      <c r="B140" t="str">
        <f>+IFERROR(B139/A139-1,"NM")</f>
        <v>NM</v>
      </c>
      <c r="C140" s="44">
        <f t="shared" ref="C140:I140" si="94">(C139-B139)/C139</f>
        <v>0.12322274881516587</v>
      </c>
      <c r="D140" s="44">
        <f t="shared" si="94"/>
        <v>0.11195286195286196</v>
      </c>
      <c r="E140" s="44">
        <f t="shared" si="94"/>
        <v>0.21220159151193635</v>
      </c>
      <c r="F140" s="44">
        <f t="shared" si="94"/>
        <v>0.16592920353982302</v>
      </c>
      <c r="G140" s="44">
        <f t="shared" si="94"/>
        <v>4.6413502109704644E-2</v>
      </c>
      <c r="H140" s="44">
        <f t="shared" si="94"/>
        <v>0.19216020451640392</v>
      </c>
      <c r="I140" s="44">
        <f t="shared" si="94"/>
        <v>-0.21104231166150672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/>
      <c r="P140" s="44"/>
    </row>
    <row r="141" spans="1:16" x14ac:dyDescent="0.3">
      <c r="A141" s="48" t="s">
        <v>144</v>
      </c>
      <c r="B141" s="52">
        <f>+Historicals!B189</f>
        <v>5.5936073059360727E-2</v>
      </c>
      <c r="C141" s="52">
        <f>+Historicals!C189</f>
        <v>0.14054054054054055</v>
      </c>
      <c r="D141" s="52">
        <f>+Historicals!D189</f>
        <v>0.12606635071090047</v>
      </c>
      <c r="E141" s="52">
        <f>+Historicals!E189</f>
        <v>0.26936026936026936</v>
      </c>
      <c r="F141" s="52">
        <f>+Historicals!F189</f>
        <v>0.19893899204244031</v>
      </c>
      <c r="G141" s="52">
        <f>+Historicals!G189</f>
        <v>4.8672566371681415E-2</v>
      </c>
      <c r="H141" s="52">
        <f>+Historicals!H189</f>
        <v>0.2378691983122363</v>
      </c>
      <c r="I141" s="52">
        <f>+Historicals!I189</f>
        <v>-0.21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/>
      <c r="P141" s="44"/>
    </row>
    <row r="142" spans="1:16" x14ac:dyDescent="0.3">
      <c r="A142" s="48" t="s">
        <v>145</v>
      </c>
      <c r="B142">
        <v>0</v>
      </c>
      <c r="C142" s="44">
        <f t="shared" ref="C142:I142" si="95">C140-C141</f>
        <v>-1.7317791725374676E-2</v>
      </c>
      <c r="D142" s="44">
        <f t="shared" si="95"/>
        <v>-1.4113488758038514E-2</v>
      </c>
      <c r="E142" s="44">
        <f t="shared" si="95"/>
        <v>-5.7158677848333006E-2</v>
      </c>
      <c r="F142" s="44">
        <f t="shared" si="95"/>
        <v>-3.3009788502617293E-2</v>
      </c>
      <c r="G142" s="44">
        <f t="shared" si="95"/>
        <v>-2.2590642619767717E-3</v>
      </c>
      <c r="H142" s="44">
        <f t="shared" si="95"/>
        <v>-4.5708993795832376E-2</v>
      </c>
      <c r="I142" s="44">
        <f t="shared" si="95"/>
        <v>-1.0423116615067285E-3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/>
      <c r="P142" s="44"/>
    </row>
    <row r="143" spans="1:16" x14ac:dyDescent="0.3">
      <c r="A143" s="49" t="s">
        <v>110</v>
      </c>
      <c r="B143">
        <f>+Historicals!B118</f>
        <v>126</v>
      </c>
      <c r="C143">
        <f>+Historicals!C118</f>
        <v>131</v>
      </c>
      <c r="D143">
        <f>+Historicals!D118</f>
        <v>129</v>
      </c>
      <c r="E143">
        <f>+Historicals!E118</f>
        <v>130</v>
      </c>
      <c r="F143">
        <f>+Historicals!F118</f>
        <v>138</v>
      </c>
      <c r="G143">
        <f>+Historicals!G118</f>
        <v>148</v>
      </c>
      <c r="H143">
        <f>+Historicals!H118</f>
        <v>195</v>
      </c>
      <c r="I143">
        <f>+Historicals!I118</f>
        <v>193</v>
      </c>
      <c r="J143">
        <f>I143*(1+J144)</f>
        <v>193</v>
      </c>
      <c r="K143">
        <f>J143*(1+K144)</f>
        <v>193</v>
      </c>
      <c r="L143">
        <f>K143*(1+L144)</f>
        <v>193</v>
      </c>
      <c r="M143">
        <f>L143*(1+M144)</f>
        <v>193</v>
      </c>
      <c r="N143">
        <f>M143*(1+N144)</f>
        <v>193</v>
      </c>
    </row>
    <row r="144" spans="1:16" x14ac:dyDescent="0.3">
      <c r="A144" s="48" t="s">
        <v>135</v>
      </c>
      <c r="B144" s="53" t="str">
        <f>+IFERROR(B143/A143-1,"NM")</f>
        <v>NM</v>
      </c>
      <c r="C144" s="54">
        <f t="shared" ref="C144:I144" si="96">(C143-B143)/C143</f>
        <v>3.8167938931297711E-2</v>
      </c>
      <c r="D144" s="54">
        <f t="shared" si="96"/>
        <v>-1.5503875968992248E-2</v>
      </c>
      <c r="E144" s="54">
        <f t="shared" si="96"/>
        <v>7.6923076923076927E-3</v>
      </c>
      <c r="F144" s="54">
        <f t="shared" si="96"/>
        <v>5.7971014492753624E-2</v>
      </c>
      <c r="G144" s="54">
        <f t="shared" si="96"/>
        <v>6.7567567567567571E-2</v>
      </c>
      <c r="H144" s="54">
        <f t="shared" si="96"/>
        <v>0.24102564102564103</v>
      </c>
      <c r="I144" s="54">
        <f t="shared" si="96"/>
        <v>-1.0362694300518135E-2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/>
      <c r="P144" s="44"/>
    </row>
    <row r="145" spans="1:16" x14ac:dyDescent="0.3">
      <c r="A145" s="48" t="s">
        <v>144</v>
      </c>
      <c r="B145" s="52">
        <f>+Historicals!B190</f>
        <v>0</v>
      </c>
      <c r="C145" s="52">
        <f>+Historicals!C190</f>
        <v>3.968253968253968E-2</v>
      </c>
      <c r="D145" s="52">
        <f>+Historicals!D190</f>
        <v>-1.5267175572519083E-2</v>
      </c>
      <c r="E145" s="52">
        <f>+Historicals!E190</f>
        <v>7.7519379844961239E-3</v>
      </c>
      <c r="F145" s="52">
        <f>+Historicals!F190</f>
        <v>6.1538461538461542E-2</v>
      </c>
      <c r="G145" s="52">
        <f>+Historicals!G190</f>
        <v>7.2463768115942032E-2</v>
      </c>
      <c r="H145" s="52">
        <f>+Historicals!H190</f>
        <v>0.31756756756756754</v>
      </c>
      <c r="I145" s="52">
        <f>+Historicals!I190</f>
        <v>-0.06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/>
      <c r="P145" s="44"/>
    </row>
    <row r="146" spans="1:16" x14ac:dyDescent="0.3">
      <c r="A146" s="48" t="s">
        <v>145</v>
      </c>
      <c r="B146">
        <v>0</v>
      </c>
      <c r="C146" s="44">
        <f t="shared" ref="C146:I146" si="97">C144-C145</f>
        <v>-1.5146007512419693E-3</v>
      </c>
      <c r="D146" s="44">
        <f t="shared" si="97"/>
        <v>-2.3670039647316447E-4</v>
      </c>
      <c r="E146" s="44">
        <f t="shared" si="97"/>
        <v>-5.9630292188431189E-5</v>
      </c>
      <c r="F146" s="44">
        <f t="shared" si="97"/>
        <v>-3.567447045707918E-3</v>
      </c>
      <c r="G146" s="44">
        <f t="shared" si="97"/>
        <v>-4.8962005483744603E-3</v>
      </c>
      <c r="H146" s="44">
        <f t="shared" si="97"/>
        <v>-7.6541926541926514E-2</v>
      </c>
      <c r="I146" s="44">
        <f t="shared" si="97"/>
        <v>4.9637305699481861E-2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  <c r="P146" s="44"/>
    </row>
    <row r="147" spans="1:16" x14ac:dyDescent="0.3">
      <c r="A147" s="11" t="s">
        <v>136</v>
      </c>
      <c r="B147" s="10">
        <f t="shared" ref="B147:I147" si="98">B150+B154</f>
        <v>1039</v>
      </c>
      <c r="C147" s="10">
        <f t="shared" si="98"/>
        <v>1420</v>
      </c>
      <c r="D147" s="10">
        <f t="shared" si="98"/>
        <v>1561</v>
      </c>
      <c r="E147" s="10">
        <f t="shared" si="98"/>
        <v>1863</v>
      </c>
      <c r="F147" s="10">
        <f t="shared" si="98"/>
        <v>2426</v>
      </c>
      <c r="G147" s="10">
        <f t="shared" si="98"/>
        <v>2534</v>
      </c>
      <c r="H147" s="10">
        <f t="shared" si="98"/>
        <v>3289</v>
      </c>
      <c r="I147" s="10">
        <f t="shared" si="98"/>
        <v>2406</v>
      </c>
      <c r="J147" s="10">
        <f>I149*J133</f>
        <v>2406</v>
      </c>
      <c r="K147" s="10">
        <f>J149*K133</f>
        <v>2406</v>
      </c>
      <c r="L147" s="10">
        <f>K149*L133</f>
        <v>2406</v>
      </c>
      <c r="M147" s="10">
        <f>L149*M133</f>
        <v>2406</v>
      </c>
      <c r="N147" s="10">
        <f>M149*N133</f>
        <v>2406</v>
      </c>
      <c r="O147" s="10" t="s">
        <v>149</v>
      </c>
      <c r="P147" s="10"/>
    </row>
    <row r="148" spans="1:16" x14ac:dyDescent="0.3">
      <c r="A148" s="43" t="s">
        <v>135</v>
      </c>
      <c r="B148" t="str">
        <f>+IFERROR(B147/A147-1,"NM")</f>
        <v>NM</v>
      </c>
      <c r="C148" s="44">
        <f t="shared" ref="C148:I148" si="99">(C147-B147)/C147</f>
        <v>0.26830985915492955</v>
      </c>
      <c r="D148" s="44">
        <f t="shared" si="99"/>
        <v>9.0326713645099296E-2</v>
      </c>
      <c r="E148" s="44">
        <f t="shared" si="99"/>
        <v>0.16210413311862587</v>
      </c>
      <c r="F148" s="44">
        <f t="shared" si="99"/>
        <v>0.23206924979389942</v>
      </c>
      <c r="G148" s="44">
        <f t="shared" si="99"/>
        <v>4.2620363062352014E-2</v>
      </c>
      <c r="H148" s="44">
        <f t="shared" si="99"/>
        <v>0.22955305564001216</v>
      </c>
      <c r="I148" s="44">
        <f t="shared" si="99"/>
        <v>-0.36699916874480465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/>
      <c r="P148" s="44"/>
    </row>
    <row r="149" spans="1:16" x14ac:dyDescent="0.3">
      <c r="A149" s="43" t="s">
        <v>137</v>
      </c>
      <c r="B149" s="44">
        <f t="shared" ref="B149:N149" si="100">B147/B133</f>
        <v>0.33876752526899251</v>
      </c>
      <c r="C149" s="44">
        <f t="shared" si="100"/>
        <v>0.37516512549537651</v>
      </c>
      <c r="D149" s="44">
        <f t="shared" si="100"/>
        <v>0.36842105263157893</v>
      </c>
      <c r="E149" s="44">
        <f t="shared" si="100"/>
        <v>0.36287495130502534</v>
      </c>
      <c r="F149" s="44">
        <f t="shared" si="100"/>
        <v>0.3907860824742268</v>
      </c>
      <c r="G149" s="44">
        <f t="shared" si="100"/>
        <v>0.37939811349004343</v>
      </c>
      <c r="H149" s="44">
        <f t="shared" si="100"/>
        <v>0.39674306393244874</v>
      </c>
      <c r="I149" s="44">
        <f t="shared" si="100"/>
        <v>0.31880217304889358</v>
      </c>
      <c r="J149" s="44">
        <f t="shared" si="100"/>
        <v>0.31880217304889358</v>
      </c>
      <c r="K149" s="44">
        <f t="shared" si="100"/>
        <v>0.31880217304889358</v>
      </c>
      <c r="L149" s="44">
        <f t="shared" si="100"/>
        <v>0.31880217304889358</v>
      </c>
      <c r="M149" s="44">
        <f t="shared" si="100"/>
        <v>0.31880217304889358</v>
      </c>
      <c r="N149" s="44">
        <f t="shared" si="100"/>
        <v>0.31880217304889358</v>
      </c>
      <c r="O149" s="44" t="s">
        <v>150</v>
      </c>
      <c r="P149" s="44"/>
    </row>
    <row r="150" spans="1:16" x14ac:dyDescent="0.3">
      <c r="A150" s="11" t="s">
        <v>138</v>
      </c>
      <c r="B150" s="51">
        <f>+Historicals!B169</f>
        <v>46</v>
      </c>
      <c r="C150" s="51">
        <f>+Historicals!C169</f>
        <v>48</v>
      </c>
      <c r="D150" s="51">
        <f>+Historicals!D169</f>
        <v>54</v>
      </c>
      <c r="E150" s="51">
        <f>+Historicals!E169</f>
        <v>56</v>
      </c>
      <c r="F150" s="51">
        <f>+Historicals!F169</f>
        <v>50</v>
      </c>
      <c r="G150" s="51">
        <f>+Historicals!G169</f>
        <v>44</v>
      </c>
      <c r="H150" s="51">
        <f>+Historicals!H169</f>
        <v>46</v>
      </c>
      <c r="I150" s="51">
        <f>+Historicals!I169</f>
        <v>41</v>
      </c>
      <c r="J150" s="10">
        <f>I150*(1+J151)</f>
        <v>41</v>
      </c>
      <c r="K150" s="10">
        <f>J150*(1+K151)</f>
        <v>41</v>
      </c>
      <c r="L150" s="10">
        <f>K150*(1+L151)</f>
        <v>41</v>
      </c>
      <c r="M150" s="10">
        <f>L150*(1+M151)</f>
        <v>41</v>
      </c>
      <c r="N150" s="10">
        <f>M150*(1+N151)</f>
        <v>41</v>
      </c>
      <c r="O150" s="10"/>
    </row>
    <row r="151" spans="1:16" x14ac:dyDescent="0.3">
      <c r="A151" s="43" t="s">
        <v>135</v>
      </c>
      <c r="B151" t="str">
        <f>+IFERROR(B150/A150-1,"NM")</f>
        <v>NM</v>
      </c>
      <c r="C151" s="44">
        <f t="shared" ref="C151:I151" si="101">(C150-B150)/C150</f>
        <v>4.1666666666666664E-2</v>
      </c>
      <c r="D151" s="44">
        <f t="shared" si="101"/>
        <v>0.1111111111111111</v>
      </c>
      <c r="E151" s="44">
        <f t="shared" si="101"/>
        <v>3.5714285714285712E-2</v>
      </c>
      <c r="F151" s="44">
        <f t="shared" si="101"/>
        <v>-0.12</v>
      </c>
      <c r="G151" s="44">
        <f t="shared" si="101"/>
        <v>-0.13636363636363635</v>
      </c>
      <c r="H151" s="44">
        <f t="shared" si="101"/>
        <v>4.3478260869565216E-2</v>
      </c>
      <c r="I151" s="44">
        <f t="shared" si="101"/>
        <v>-0.12195121951219512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/>
      <c r="P151" s="44"/>
    </row>
    <row r="152" spans="1:16" x14ac:dyDescent="0.3">
      <c r="A152" s="43" t="s">
        <v>139</v>
      </c>
      <c r="B152" s="44">
        <f t="shared" ref="B152:N152" si="102">B150/B133</f>
        <v>1.4998369742419302E-2</v>
      </c>
      <c r="C152" s="44">
        <f t="shared" si="102"/>
        <v>1.2681638044914135E-2</v>
      </c>
      <c r="D152" s="44">
        <f t="shared" si="102"/>
        <v>1.2744866650932263E-2</v>
      </c>
      <c r="E152" s="44">
        <f t="shared" si="102"/>
        <v>1.090767432800935E-2</v>
      </c>
      <c r="F152" s="44">
        <f t="shared" si="102"/>
        <v>8.0541237113402053E-3</v>
      </c>
      <c r="G152" s="44">
        <f t="shared" si="102"/>
        <v>6.5878125467884411E-3</v>
      </c>
      <c r="H152" s="44">
        <f t="shared" si="102"/>
        <v>5.5488540410132689E-3</v>
      </c>
      <c r="I152" s="44">
        <f t="shared" si="102"/>
        <v>5.4326222340002651E-3</v>
      </c>
      <c r="J152" s="44">
        <f t="shared" si="102"/>
        <v>5.4326222340002651E-3</v>
      </c>
      <c r="K152" s="44">
        <f t="shared" si="102"/>
        <v>5.4326222340002651E-3</v>
      </c>
      <c r="L152" s="44">
        <f t="shared" si="102"/>
        <v>5.4326222340002651E-3</v>
      </c>
      <c r="M152" s="44">
        <f t="shared" si="102"/>
        <v>5.4326222340002651E-3</v>
      </c>
      <c r="N152" s="44">
        <f t="shared" si="102"/>
        <v>5.4326222340002651E-3</v>
      </c>
      <c r="O152" s="44"/>
      <c r="P152" s="44"/>
    </row>
    <row r="153" spans="1:16" x14ac:dyDescent="0.3">
      <c r="A153" s="43" t="s">
        <v>146</v>
      </c>
      <c r="B153" s="44">
        <f t="shared" ref="B153:N153" si="103">B150/B160</f>
        <v>0.18110236220472442</v>
      </c>
      <c r="C153" s="44">
        <f t="shared" si="103"/>
        <v>0.20512820512820512</v>
      </c>
      <c r="D153" s="44">
        <f t="shared" si="103"/>
        <v>0.24</v>
      </c>
      <c r="E153" s="44">
        <f t="shared" si="103"/>
        <v>0.21875</v>
      </c>
      <c r="F153" s="44">
        <f t="shared" si="103"/>
        <v>0.2109704641350211</v>
      </c>
      <c r="G153" s="44">
        <f t="shared" si="103"/>
        <v>0.20560747663551401</v>
      </c>
      <c r="H153" s="44">
        <f t="shared" si="103"/>
        <v>0.15972222222222221</v>
      </c>
      <c r="I153" s="44">
        <f t="shared" si="103"/>
        <v>0.13531353135313531</v>
      </c>
      <c r="J153" s="44">
        <f t="shared" si="103"/>
        <v>0.13531353135313531</v>
      </c>
      <c r="K153" s="44">
        <f t="shared" si="103"/>
        <v>0.13531353135313531</v>
      </c>
      <c r="L153" s="44">
        <f t="shared" si="103"/>
        <v>0.13531353135313531</v>
      </c>
      <c r="M153" s="44">
        <f t="shared" si="103"/>
        <v>0.13531353135313531</v>
      </c>
      <c r="N153" s="44">
        <f t="shared" si="103"/>
        <v>0.13531353135313531</v>
      </c>
      <c r="O153" s="44"/>
      <c r="P153" s="44"/>
    </row>
    <row r="154" spans="1:16" x14ac:dyDescent="0.3">
      <c r="A154" s="11" t="s">
        <v>140</v>
      </c>
      <c r="B154" s="51">
        <f>+Historicals!B136</f>
        <v>993</v>
      </c>
      <c r="C154" s="51">
        <f>+Historicals!C136</f>
        <v>1372</v>
      </c>
      <c r="D154" s="51">
        <f>+Historicals!D136</f>
        <v>1507</v>
      </c>
      <c r="E154" s="51">
        <f>+Historicals!E136</f>
        <v>1807</v>
      </c>
      <c r="F154" s="51">
        <f>+Historicals!F136</f>
        <v>2376</v>
      </c>
      <c r="G154" s="51">
        <f>+Historicals!G136</f>
        <v>2490</v>
      </c>
      <c r="H154" s="51">
        <f>+Historicals!H136</f>
        <v>3243</v>
      </c>
      <c r="I154" s="51">
        <f>+Historicals!I136</f>
        <v>2365</v>
      </c>
      <c r="J154" s="10">
        <f>I147-I150</f>
        <v>2365</v>
      </c>
      <c r="K154" s="10">
        <f>J147-J150</f>
        <v>2365</v>
      </c>
      <c r="L154" s="10">
        <f>K147-K150</f>
        <v>2365</v>
      </c>
      <c r="M154" s="10">
        <f>L147-L150</f>
        <v>2365</v>
      </c>
      <c r="N154" s="10">
        <f>M147-M150</f>
        <v>2365</v>
      </c>
      <c r="O154" s="10"/>
    </row>
    <row r="155" spans="1:16" x14ac:dyDescent="0.3">
      <c r="A155" s="43" t="s">
        <v>135</v>
      </c>
      <c r="B155" t="str">
        <f>+IFERROR(B154/A154-1,"NM")</f>
        <v>NM</v>
      </c>
      <c r="C155" s="44">
        <f t="shared" ref="C155:I155" si="104">(C154-B154)/C154</f>
        <v>0.27623906705539358</v>
      </c>
      <c r="D155" s="44">
        <f t="shared" si="104"/>
        <v>8.9581950895819509E-2</v>
      </c>
      <c r="E155" s="44">
        <f t="shared" si="104"/>
        <v>0.16602102933038185</v>
      </c>
      <c r="F155" s="44">
        <f t="shared" si="104"/>
        <v>0.23947811447811448</v>
      </c>
      <c r="G155" s="44">
        <f t="shared" si="104"/>
        <v>4.5783132530120479E-2</v>
      </c>
      <c r="H155" s="44">
        <f t="shared" si="104"/>
        <v>0.23219241443108232</v>
      </c>
      <c r="I155" s="44">
        <f t="shared" si="104"/>
        <v>-0.37124735729386893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/>
      <c r="P155" s="44"/>
    </row>
    <row r="156" spans="1:16" x14ac:dyDescent="0.3">
      <c r="A156" s="43" t="s">
        <v>137</v>
      </c>
      <c r="B156" s="44">
        <f t="shared" ref="B156:N156" si="105">B154/B133</f>
        <v>0.3237691555265732</v>
      </c>
      <c r="C156" s="44">
        <f t="shared" si="105"/>
        <v>0.36248348745046233</v>
      </c>
      <c r="D156" s="44">
        <f t="shared" si="105"/>
        <v>0.35567618598064671</v>
      </c>
      <c r="E156" s="44">
        <f t="shared" si="105"/>
        <v>0.35196727697701596</v>
      </c>
      <c r="F156" s="44">
        <f t="shared" si="105"/>
        <v>0.38273195876288657</v>
      </c>
      <c r="G156" s="44">
        <f t="shared" si="105"/>
        <v>0.37281030094325496</v>
      </c>
      <c r="H156" s="44">
        <f t="shared" si="105"/>
        <v>0.39119420989143544</v>
      </c>
      <c r="I156" s="44">
        <f t="shared" si="105"/>
        <v>0.31336955081489332</v>
      </c>
      <c r="J156" s="44">
        <f t="shared" si="105"/>
        <v>0.31336955081489332</v>
      </c>
      <c r="K156" s="44">
        <f t="shared" si="105"/>
        <v>0.31336955081489332</v>
      </c>
      <c r="L156" s="44">
        <f t="shared" si="105"/>
        <v>0.31336955081489332</v>
      </c>
      <c r="M156" s="44">
        <f t="shared" si="105"/>
        <v>0.31336955081489332</v>
      </c>
      <c r="N156" s="44">
        <f t="shared" si="105"/>
        <v>0.31336955081489332</v>
      </c>
      <c r="O156" s="44"/>
      <c r="P156" s="44"/>
    </row>
    <row r="157" spans="1:16" x14ac:dyDescent="0.3">
      <c r="A157" s="11" t="s">
        <v>141</v>
      </c>
      <c r="B157" s="51">
        <v>69</v>
      </c>
      <c r="C157" s="51">
        <v>44</v>
      </c>
      <c r="D157" s="51">
        <v>51</v>
      </c>
      <c r="E157" s="51">
        <v>76</v>
      </c>
      <c r="F157" s="51">
        <v>49</v>
      </c>
      <c r="G157" s="51">
        <v>28</v>
      </c>
      <c r="H157" s="51">
        <v>94</v>
      </c>
      <c r="I157" s="51">
        <v>78</v>
      </c>
      <c r="J157" s="10">
        <f>I157*(1+J158)</f>
        <v>78</v>
      </c>
      <c r="K157" s="10">
        <f>J157*(1+K158)</f>
        <v>78</v>
      </c>
      <c r="L157" s="10">
        <f>K157*(1+L158)</f>
        <v>78</v>
      </c>
      <c r="M157" s="10">
        <f>L157*(1+M158)</f>
        <v>78</v>
      </c>
      <c r="N157" s="10">
        <f>M157*(1+N158)</f>
        <v>78</v>
      </c>
      <c r="O157" s="10"/>
      <c r="P157" s="10"/>
    </row>
    <row r="158" spans="1:16" x14ac:dyDescent="0.3">
      <c r="A158" s="43" t="s">
        <v>135</v>
      </c>
      <c r="B158" t="str">
        <f>+IFERROR(B157/A157-1,"NM")</f>
        <v>NM</v>
      </c>
      <c r="C158" s="44">
        <f t="shared" ref="C158:I158" si="106">(C157-B157)/C157</f>
        <v>-0.56818181818181823</v>
      </c>
      <c r="D158" s="44">
        <f t="shared" si="106"/>
        <v>0.13725490196078433</v>
      </c>
      <c r="E158" s="44">
        <f t="shared" si="106"/>
        <v>0.32894736842105265</v>
      </c>
      <c r="F158" s="44">
        <f t="shared" si="106"/>
        <v>-0.55102040816326525</v>
      </c>
      <c r="G158" s="44">
        <f t="shared" si="106"/>
        <v>-0.75</v>
      </c>
      <c r="H158" s="44">
        <f t="shared" si="106"/>
        <v>0.7021276595744681</v>
      </c>
      <c r="I158" s="44">
        <f t="shared" si="106"/>
        <v>-0.20512820512820512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/>
      <c r="P158" s="44"/>
    </row>
    <row r="159" spans="1:16" x14ac:dyDescent="0.3">
      <c r="A159" s="43" t="s">
        <v>139</v>
      </c>
      <c r="B159" s="44">
        <f t="shared" ref="B159:N159" si="107">B157/B133</f>
        <v>2.2497554613628953E-2</v>
      </c>
      <c r="C159" s="44">
        <f t="shared" si="107"/>
        <v>1.1624834874504624E-2</v>
      </c>
      <c r="D159" s="44">
        <f t="shared" si="107"/>
        <v>1.2036818503658248E-2</v>
      </c>
      <c r="E159" s="44">
        <f t="shared" si="107"/>
        <v>1.4803272302298403E-2</v>
      </c>
      <c r="F159" s="44">
        <f t="shared" si="107"/>
        <v>7.8930412371134018E-3</v>
      </c>
      <c r="G159" s="44">
        <f t="shared" si="107"/>
        <v>4.1922443479562805E-3</v>
      </c>
      <c r="H159" s="44">
        <f t="shared" si="107"/>
        <v>1.1338962605548853E-2</v>
      </c>
      <c r="I159" s="44">
        <f t="shared" si="107"/>
        <v>1.0335232542732211E-2</v>
      </c>
      <c r="J159" s="44">
        <f t="shared" si="107"/>
        <v>1.0335232542732211E-2</v>
      </c>
      <c r="K159" s="44">
        <f t="shared" si="107"/>
        <v>1.0335232542732211E-2</v>
      </c>
      <c r="L159" s="44">
        <f t="shared" si="107"/>
        <v>1.0335232542732211E-2</v>
      </c>
      <c r="M159" s="44">
        <f t="shared" si="107"/>
        <v>1.0335232542732211E-2</v>
      </c>
      <c r="N159" s="44">
        <f t="shared" si="107"/>
        <v>1.0335232542732211E-2</v>
      </c>
      <c r="O159" s="44"/>
      <c r="P159" s="44"/>
    </row>
    <row r="160" spans="1:16" x14ac:dyDescent="0.3">
      <c r="A160" s="11" t="s">
        <v>142</v>
      </c>
      <c r="B160" s="51">
        <f>+Historicals!B147</f>
        <v>254</v>
      </c>
      <c r="C160" s="51">
        <f>+Historicals!C147</f>
        <v>234</v>
      </c>
      <c r="D160" s="51">
        <f>+Historicals!D147</f>
        <v>225</v>
      </c>
      <c r="E160" s="51">
        <f>+Historicals!E147</f>
        <v>256</v>
      </c>
      <c r="F160" s="51">
        <f>+Historicals!F147</f>
        <v>237</v>
      </c>
      <c r="G160" s="51">
        <f>+Historicals!G147</f>
        <v>214</v>
      </c>
      <c r="H160" s="51">
        <f>+Historicals!H147</f>
        <v>288</v>
      </c>
      <c r="I160" s="51">
        <f>+Historicals!I147</f>
        <v>303</v>
      </c>
      <c r="J160">
        <f>I160*(1+J161)</f>
        <v>303</v>
      </c>
      <c r="K160">
        <f>J160*(1+K161)</f>
        <v>303</v>
      </c>
      <c r="L160">
        <f>K160*(1+L161)</f>
        <v>303</v>
      </c>
      <c r="M160">
        <f>L160*(1+M161)</f>
        <v>303</v>
      </c>
      <c r="N160">
        <f>M160*(1+N161)</f>
        <v>303</v>
      </c>
    </row>
    <row r="161" spans="1:16" x14ac:dyDescent="0.3">
      <c r="A161" s="43" t="s">
        <v>135</v>
      </c>
      <c r="B161" t="str">
        <f>+IFERROR(B160/A160-1,"NM")</f>
        <v>NM</v>
      </c>
      <c r="C161" s="44">
        <f t="shared" ref="C161:I161" si="108">(C160-B160)/C160</f>
        <v>-8.5470085470085472E-2</v>
      </c>
      <c r="D161" s="44">
        <f t="shared" si="108"/>
        <v>-0.04</v>
      </c>
      <c r="E161" s="44">
        <f t="shared" si="108"/>
        <v>0.12109375</v>
      </c>
      <c r="F161" s="44">
        <f t="shared" si="108"/>
        <v>-8.0168776371308023E-2</v>
      </c>
      <c r="G161" s="44">
        <f t="shared" si="108"/>
        <v>-0.10747663551401869</v>
      </c>
      <c r="H161" s="44">
        <f t="shared" si="108"/>
        <v>0.25694444444444442</v>
      </c>
      <c r="I161" s="44">
        <f t="shared" si="108"/>
        <v>4.9504950495049507E-2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/>
      <c r="P161" s="44"/>
    </row>
    <row r="162" spans="1:16" x14ac:dyDescent="0.3">
      <c r="A162" s="43" t="s">
        <v>139</v>
      </c>
      <c r="B162" s="44">
        <f t="shared" ref="B162:N162" si="109">B160/B133</f>
        <v>8.2817085099445714E-2</v>
      </c>
      <c r="C162" s="44">
        <f t="shared" si="109"/>
        <v>6.1822985468956405E-2</v>
      </c>
      <c r="D162" s="44">
        <f t="shared" si="109"/>
        <v>5.31036110455511E-2</v>
      </c>
      <c r="E162" s="44">
        <f t="shared" si="109"/>
        <v>4.9863654070899883E-2</v>
      </c>
      <c r="F162" s="44">
        <f t="shared" si="109"/>
        <v>3.817654639175258E-2</v>
      </c>
      <c r="G162" s="44">
        <f t="shared" si="109"/>
        <v>3.2040724659380147E-2</v>
      </c>
      <c r="H162" s="44">
        <f t="shared" si="109"/>
        <v>3.4740651387213509E-2</v>
      </c>
      <c r="I162" s="44">
        <f t="shared" si="109"/>
        <v>4.0148403339075128E-2</v>
      </c>
      <c r="J162" s="44">
        <f t="shared" si="109"/>
        <v>4.0148403339075128E-2</v>
      </c>
      <c r="K162" s="44">
        <f t="shared" si="109"/>
        <v>4.0148403339075128E-2</v>
      </c>
      <c r="L162" s="44">
        <f t="shared" si="109"/>
        <v>4.0148403339075128E-2</v>
      </c>
      <c r="M162" s="44">
        <f t="shared" si="109"/>
        <v>4.0148403339075128E-2</v>
      </c>
      <c r="N162" s="44">
        <f t="shared" si="109"/>
        <v>4.0148403339075128E-2</v>
      </c>
      <c r="O162" s="44"/>
      <c r="P162" s="44"/>
    </row>
    <row r="163" spans="1:16" x14ac:dyDescent="0.3">
      <c r="A163" s="47" t="s">
        <v>113</v>
      </c>
      <c r="B163" s="47"/>
      <c r="C163" s="47"/>
      <c r="D163" s="47"/>
      <c r="E163" s="47"/>
      <c r="F163" s="47"/>
      <c r="G163" s="47"/>
      <c r="H163" s="47"/>
      <c r="I163" s="47"/>
      <c r="J163" s="41"/>
      <c r="K163" s="41"/>
      <c r="L163" s="41"/>
      <c r="M163" s="41"/>
      <c r="N163" s="41"/>
      <c r="O163" s="41"/>
      <c r="P163" s="41"/>
    </row>
    <row r="164" spans="1:16" x14ac:dyDescent="0.3">
      <c r="A164" s="11" t="s">
        <v>143</v>
      </c>
      <c r="B164" s="10">
        <f t="shared" ref="B164:I164" si="110">B166+B170+B174</f>
        <v>4653</v>
      </c>
      <c r="C164" s="10">
        <f t="shared" si="110"/>
        <v>4317</v>
      </c>
      <c r="D164" s="10">
        <f t="shared" si="110"/>
        <v>4737</v>
      </c>
      <c r="E164" s="10">
        <f t="shared" si="110"/>
        <v>5166</v>
      </c>
      <c r="F164" s="10">
        <f t="shared" si="110"/>
        <v>5254</v>
      </c>
      <c r="G164" s="10">
        <f t="shared" si="110"/>
        <v>5028</v>
      </c>
      <c r="H164" s="10">
        <f t="shared" si="110"/>
        <v>5343</v>
      </c>
      <c r="I164" s="10">
        <f t="shared" si="110"/>
        <v>5955</v>
      </c>
      <c r="J164" s="10">
        <f>I164*(1+J165)</f>
        <v>5955</v>
      </c>
      <c r="K164" s="10">
        <f>J164*(1+K165)</f>
        <v>5955</v>
      </c>
      <c r="L164" s="10">
        <f>K164*(1+L165)</f>
        <v>5955</v>
      </c>
      <c r="M164" s="10">
        <f>L164*(1+M165)</f>
        <v>5955</v>
      </c>
      <c r="N164" s="10">
        <f>M164*(1+N165)</f>
        <v>5955</v>
      </c>
      <c r="O164" s="10" t="s">
        <v>151</v>
      </c>
      <c r="P164" s="10"/>
    </row>
    <row r="165" spans="1:16" x14ac:dyDescent="0.3">
      <c r="A165" s="48" t="s">
        <v>135</v>
      </c>
      <c r="B165" t="str">
        <f>+IFERROR(B164/A164-1,"NM")</f>
        <v>NM</v>
      </c>
      <c r="C165" s="44">
        <f t="shared" ref="C165:I165" si="111">(C164-B164)/C164</f>
        <v>-7.7831827658095903E-2</v>
      </c>
      <c r="D165" s="44">
        <f t="shared" si="111"/>
        <v>8.866371120962635E-2</v>
      </c>
      <c r="E165" s="44">
        <f t="shared" si="111"/>
        <v>8.3042973286875724E-2</v>
      </c>
      <c r="F165" s="44">
        <f t="shared" si="111"/>
        <v>1.6749143509706889E-2</v>
      </c>
      <c r="G165" s="44">
        <f t="shared" si="111"/>
        <v>-4.4948289578361181E-2</v>
      </c>
      <c r="H165" s="44">
        <f t="shared" si="111"/>
        <v>5.8955642897248736E-2</v>
      </c>
      <c r="I165" s="44">
        <f t="shared" si="111"/>
        <v>0.10277078085642317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/>
      <c r="P165" s="44"/>
    </row>
    <row r="166" spans="1:16" x14ac:dyDescent="0.3">
      <c r="A166" s="49" t="s">
        <v>108</v>
      </c>
      <c r="B166">
        <f>+Historicals!B120</f>
        <v>3093</v>
      </c>
      <c r="C166">
        <f>+Historicals!C120</f>
        <v>2930</v>
      </c>
      <c r="D166">
        <f>+Historicals!D120</f>
        <v>3285</v>
      </c>
      <c r="E166">
        <f>+Historicals!E120</f>
        <v>3575</v>
      </c>
      <c r="F166">
        <f>+Historicals!F120</f>
        <v>3622</v>
      </c>
      <c r="G166">
        <f>+Historicals!G120</f>
        <v>3449</v>
      </c>
      <c r="H166" s="20">
        <f>+Historicals!H120</f>
        <v>3659</v>
      </c>
      <c r="I166" s="20">
        <f>+Historicals!I120</f>
        <v>4111</v>
      </c>
      <c r="J166">
        <f>I166*(1+J167)</f>
        <v>4111</v>
      </c>
      <c r="K166">
        <f>J166*(1+K167)</f>
        <v>4111</v>
      </c>
      <c r="L166">
        <f>K166*(1+L167)</f>
        <v>4111</v>
      </c>
      <c r="M166">
        <f>L166*(1+M167)</f>
        <v>4111</v>
      </c>
      <c r="N166">
        <f>M166*(1+N167)</f>
        <v>4111</v>
      </c>
    </row>
    <row r="167" spans="1:16" x14ac:dyDescent="0.3">
      <c r="A167" s="48" t="s">
        <v>135</v>
      </c>
      <c r="B167" t="str">
        <f>+IFERROR(B166/A166-1,"NM")</f>
        <v>NM</v>
      </c>
      <c r="C167" s="44">
        <f t="shared" ref="C167:I167" si="112">(C166-B166)/C166</f>
        <v>-5.5631399317406141E-2</v>
      </c>
      <c r="D167" s="44">
        <f t="shared" si="112"/>
        <v>0.1080669710806697</v>
      </c>
      <c r="E167" s="44">
        <f t="shared" si="112"/>
        <v>8.1118881118881117E-2</v>
      </c>
      <c r="F167" s="44">
        <f t="shared" si="112"/>
        <v>1.2976256212037547E-2</v>
      </c>
      <c r="G167" s="44">
        <f t="shared" si="112"/>
        <v>-5.0159466512032472E-2</v>
      </c>
      <c r="H167" s="44">
        <f t="shared" si="112"/>
        <v>5.7392730254167808E-2</v>
      </c>
      <c r="I167" s="44">
        <f t="shared" si="112"/>
        <v>0.10994891753831185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/>
      <c r="P167" s="44"/>
    </row>
    <row r="168" spans="1:16" x14ac:dyDescent="0.3">
      <c r="A168" s="48" t="s">
        <v>144</v>
      </c>
      <c r="B168" s="52">
        <f>+Historicals!B192</f>
        <v>1.376597836774828E-2</v>
      </c>
      <c r="C168" s="52">
        <f>+Historicals!C192</f>
        <v>-5.2699644358228256E-2</v>
      </c>
      <c r="D168" s="52">
        <f>+Historicals!D192</f>
        <v>0.12116040955631399</v>
      </c>
      <c r="E168" s="52">
        <f>+Historicals!E192</f>
        <v>8.8280060882800604E-2</v>
      </c>
      <c r="F168" s="52">
        <f>+Historicals!F192</f>
        <v>1.3146853146853148E-2</v>
      </c>
      <c r="G168" s="52">
        <f>+Historicals!G192</f>
        <v>-4.7763666482606291E-2</v>
      </c>
      <c r="H168" s="52">
        <f>+Historicals!H192</f>
        <v>6.0887213685126125E-2</v>
      </c>
      <c r="I168" s="52">
        <f>+Historicals!I192</f>
        <v>0.17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/>
      <c r="P168" s="44"/>
    </row>
    <row r="169" spans="1:16" x14ac:dyDescent="0.3">
      <c r="A169" s="48" t="s">
        <v>145</v>
      </c>
      <c r="B169" s="44">
        <v>0</v>
      </c>
      <c r="C169" s="44">
        <f t="shared" ref="C169:I169" si="113">C167-C168</f>
        <v>-2.9317549591778846E-3</v>
      </c>
      <c r="D169" s="44">
        <f t="shared" si="113"/>
        <v>-1.3093438475644287E-2</v>
      </c>
      <c r="E169" s="44">
        <f t="shared" si="113"/>
        <v>-7.1611797639194869E-3</v>
      </c>
      <c r="F169" s="44">
        <f t="shared" si="113"/>
        <v>-1.7059693481560022E-4</v>
      </c>
      <c r="G169" s="44">
        <f t="shared" si="113"/>
        <v>-2.3958000294261803E-3</v>
      </c>
      <c r="H169" s="44">
        <f t="shared" si="113"/>
        <v>-3.4944834309583173E-3</v>
      </c>
      <c r="I169" s="44">
        <f t="shared" si="113"/>
        <v>-6.0051082461688166E-2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/>
      <c r="P169" s="44"/>
    </row>
    <row r="170" spans="1:16" x14ac:dyDescent="0.3">
      <c r="A170" s="49" t="s">
        <v>109</v>
      </c>
      <c r="B170">
        <f>+Historicals!B121</f>
        <v>1251</v>
      </c>
      <c r="C170">
        <f>+Historicals!C121</f>
        <v>1117</v>
      </c>
      <c r="D170">
        <f>+Historicals!D121</f>
        <v>1185</v>
      </c>
      <c r="E170">
        <f>+Historicals!E121</f>
        <v>1347</v>
      </c>
      <c r="F170">
        <f>+Historicals!F121</f>
        <v>1395</v>
      </c>
      <c r="G170">
        <f>+Historicals!G121</f>
        <v>1365</v>
      </c>
      <c r="H170" s="20">
        <f>+Historicals!H121</f>
        <v>1494</v>
      </c>
      <c r="I170" s="20">
        <f>+Historicals!I121</f>
        <v>1610</v>
      </c>
      <c r="J170">
        <f>I170*(1+J171)</f>
        <v>1610</v>
      </c>
      <c r="K170">
        <f>J170*(1+K171)</f>
        <v>1610</v>
      </c>
      <c r="L170">
        <f>K170*(1+L171)</f>
        <v>1610</v>
      </c>
      <c r="M170">
        <f>L170*(1+M171)</f>
        <v>1610</v>
      </c>
      <c r="N170">
        <f>M170*(1+N171)</f>
        <v>1610</v>
      </c>
    </row>
    <row r="171" spans="1:16" x14ac:dyDescent="0.3">
      <c r="A171" s="48" t="s">
        <v>135</v>
      </c>
      <c r="B171" t="str">
        <f>+IFERROR(B170/A170-1,"NM")</f>
        <v>NM</v>
      </c>
      <c r="C171" s="44">
        <f t="shared" ref="C171:I171" si="114">(C170-B170)/C170</f>
        <v>-0.11996418979409132</v>
      </c>
      <c r="D171" s="44">
        <f t="shared" si="114"/>
        <v>5.7383966244725741E-2</v>
      </c>
      <c r="E171" s="44">
        <f t="shared" si="114"/>
        <v>0.12026726057906459</v>
      </c>
      <c r="F171" s="44">
        <f t="shared" si="114"/>
        <v>3.4408602150537634E-2</v>
      </c>
      <c r="G171" s="44">
        <f t="shared" si="114"/>
        <v>-2.197802197802198E-2</v>
      </c>
      <c r="H171" s="44">
        <f t="shared" si="114"/>
        <v>8.6345381526104423E-2</v>
      </c>
      <c r="I171" s="44">
        <f t="shared" si="114"/>
        <v>7.2049689440993783E-2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/>
      <c r="P171" s="44"/>
    </row>
    <row r="172" spans="1:16" x14ac:dyDescent="0.3">
      <c r="A172" s="48" t="s">
        <v>144</v>
      </c>
      <c r="B172" s="52">
        <f>+Historicals!B193</f>
        <v>-6.4323111443530298E-2</v>
      </c>
      <c r="C172" s="52">
        <f>+Historicals!C193</f>
        <v>-0.10711430855315747</v>
      </c>
      <c r="D172" s="52">
        <f>+Historicals!D193</f>
        <v>6.087735004476276E-2</v>
      </c>
      <c r="E172" s="52">
        <f>+Historicals!E193</f>
        <v>0.13670886075949368</v>
      </c>
      <c r="F172" s="52">
        <f>+Historicals!F193</f>
        <v>3.5634743875278395E-2</v>
      </c>
      <c r="G172" s="52">
        <f>+Historicals!G193</f>
        <v>-2.1505376344086023E-2</v>
      </c>
      <c r="H172" s="52">
        <f>+Historicals!H193</f>
        <v>9.4505494505494503E-2</v>
      </c>
      <c r="I172" s="52">
        <f>+Historicals!I193</f>
        <v>0.12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/>
      <c r="P172" s="44"/>
    </row>
    <row r="173" spans="1:16" x14ac:dyDescent="0.3">
      <c r="A173" s="48" t="s">
        <v>145</v>
      </c>
      <c r="B173" s="44">
        <v>0</v>
      </c>
      <c r="C173" s="44">
        <f t="shared" ref="C173:I173" si="115">C171-C172</f>
        <v>-1.284988124093385E-2</v>
      </c>
      <c r="D173" s="44">
        <f t="shared" si="115"/>
        <v>-3.4933838000370185E-3</v>
      </c>
      <c r="E173" s="44">
        <f t="shared" si="115"/>
        <v>-1.6441600180429089E-2</v>
      </c>
      <c r="F173" s="44">
        <f t="shared" si="115"/>
        <v>-1.2261417247407605E-3</v>
      </c>
      <c r="G173" s="44">
        <f t="shared" si="115"/>
        <v>-4.7264563393595652E-4</v>
      </c>
      <c r="H173" s="44">
        <f t="shared" si="115"/>
        <v>-8.1601129793900801E-3</v>
      </c>
      <c r="I173" s="44">
        <f t="shared" si="115"/>
        <v>-4.7950310559006212E-2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/>
      <c r="P173" s="44"/>
    </row>
    <row r="174" spans="1:16" x14ac:dyDescent="0.3">
      <c r="A174" s="49" t="s">
        <v>110</v>
      </c>
      <c r="B174">
        <f>+Historicals!B122</f>
        <v>309</v>
      </c>
      <c r="C174">
        <f>+Historicals!C122</f>
        <v>270</v>
      </c>
      <c r="D174">
        <f>+Historicals!D122</f>
        <v>267</v>
      </c>
      <c r="E174">
        <f>+Historicals!E122</f>
        <v>244</v>
      </c>
      <c r="F174">
        <f>+Historicals!F122</f>
        <v>237</v>
      </c>
      <c r="G174">
        <f>+Historicals!G122</f>
        <v>214</v>
      </c>
      <c r="H174">
        <f>+Historicals!H122</f>
        <v>190</v>
      </c>
      <c r="I174">
        <f>+Historicals!I122</f>
        <v>234</v>
      </c>
      <c r="J174">
        <f>I174*(1+J175)</f>
        <v>234</v>
      </c>
      <c r="K174">
        <f>J174*(1+K175)</f>
        <v>234</v>
      </c>
      <c r="L174">
        <f>K174*(1+L175)</f>
        <v>234</v>
      </c>
      <c r="M174">
        <f>L174*(1+M175)</f>
        <v>234</v>
      </c>
      <c r="N174">
        <f>M174*(1+N175)</f>
        <v>234</v>
      </c>
    </row>
    <row r="175" spans="1:16" x14ac:dyDescent="0.3">
      <c r="A175" s="48" t="s">
        <v>135</v>
      </c>
      <c r="B175" s="53" t="str">
        <f ca="1">+IFERROR(B175/A175-1,"NM")</f>
        <v>NM</v>
      </c>
      <c r="C175" s="54">
        <f t="shared" ref="C175:I175" si="116">(C174-B174)/C174</f>
        <v>-0.14444444444444443</v>
      </c>
      <c r="D175" s="54">
        <f t="shared" si="116"/>
        <v>-1.1235955056179775E-2</v>
      </c>
      <c r="E175" s="54">
        <f t="shared" si="116"/>
        <v>-9.4262295081967207E-2</v>
      </c>
      <c r="F175" s="54">
        <f t="shared" si="116"/>
        <v>-2.9535864978902954E-2</v>
      </c>
      <c r="G175" s="54">
        <f t="shared" si="116"/>
        <v>-0.10747663551401869</v>
      </c>
      <c r="H175" s="54">
        <f t="shared" si="116"/>
        <v>-0.12631578947368421</v>
      </c>
      <c r="I175" s="54">
        <f t="shared" si="116"/>
        <v>0.18803418803418803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/>
      <c r="P175" s="44"/>
    </row>
    <row r="176" spans="1:16" x14ac:dyDescent="0.3">
      <c r="A176" s="48" t="s">
        <v>144</v>
      </c>
      <c r="B176" s="52">
        <f>+Historicals!B194</f>
        <v>-6.9277108433734941E-2</v>
      </c>
      <c r="C176" s="52">
        <f>+Historicals!C194</f>
        <v>-0.12621359223300971</v>
      </c>
      <c r="D176" s="52">
        <f>+Historicals!D194</f>
        <v>-1.1111111111111112E-2</v>
      </c>
      <c r="E176" s="52">
        <f>+Historicals!E194</f>
        <v>-8.6142322097378279E-2</v>
      </c>
      <c r="F176" s="52">
        <f>+Historicals!F194</f>
        <v>-2.8688524590163935E-2</v>
      </c>
      <c r="G176" s="52">
        <f>+Historicals!G194</f>
        <v>-9.7046413502109699E-2</v>
      </c>
      <c r="H176" s="52">
        <f>+Historicals!H194</f>
        <v>-0.11214953271028037</v>
      </c>
      <c r="I176" s="52">
        <f>+Historicals!I194</f>
        <v>0.28000000000000003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/>
      <c r="P176" s="44"/>
    </row>
    <row r="177" spans="1:16" x14ac:dyDescent="0.3">
      <c r="A177" s="48" t="s">
        <v>145</v>
      </c>
      <c r="B177" s="44">
        <v>0</v>
      </c>
      <c r="C177" s="44">
        <f t="shared" ref="C177:I177" si="117">C175-C176</f>
        <v>-1.8230852211434723E-2</v>
      </c>
      <c r="D177" s="44">
        <f t="shared" si="117"/>
        <v>-1.2484394506866343E-4</v>
      </c>
      <c r="E177" s="44">
        <f t="shared" si="117"/>
        <v>-8.1199729845889274E-3</v>
      </c>
      <c r="F177" s="44">
        <f t="shared" si="117"/>
        <v>-8.4734038873901865E-4</v>
      </c>
      <c r="G177" s="44">
        <f t="shared" si="117"/>
        <v>-1.0430222011908991E-2</v>
      </c>
      <c r="H177" s="44">
        <f t="shared" si="117"/>
        <v>-1.4166256763403842E-2</v>
      </c>
      <c r="I177" s="44">
        <f t="shared" si="117"/>
        <v>-9.1965811965811994E-2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/>
      <c r="P177" s="44"/>
    </row>
    <row r="178" spans="1:16" x14ac:dyDescent="0.3">
      <c r="A178" s="11" t="s">
        <v>136</v>
      </c>
      <c r="B178" s="10">
        <f t="shared" ref="B178:I178" si="118">B181+B185</f>
        <v>967</v>
      </c>
      <c r="C178" s="10">
        <f t="shared" si="118"/>
        <v>1044</v>
      </c>
      <c r="D178" s="10">
        <f t="shared" si="118"/>
        <v>1034</v>
      </c>
      <c r="E178" s="10">
        <f t="shared" si="118"/>
        <v>1244</v>
      </c>
      <c r="F178" s="10">
        <f t="shared" si="118"/>
        <v>1376</v>
      </c>
      <c r="G178" s="10">
        <f t="shared" si="118"/>
        <v>1230</v>
      </c>
      <c r="H178" s="10">
        <f t="shared" si="118"/>
        <v>1573</v>
      </c>
      <c r="I178" s="10">
        <f t="shared" si="118"/>
        <v>1938</v>
      </c>
      <c r="J178" s="10">
        <f>I180*J164</f>
        <v>1938</v>
      </c>
      <c r="K178" s="10">
        <f>J180*K164</f>
        <v>1938</v>
      </c>
      <c r="L178" s="10">
        <f>K180*L164</f>
        <v>1938</v>
      </c>
      <c r="M178" s="10">
        <f>L180*M164</f>
        <v>1938</v>
      </c>
      <c r="N178" s="10">
        <f>M180*N164</f>
        <v>1938</v>
      </c>
      <c r="O178" s="10" t="s">
        <v>149</v>
      </c>
      <c r="P178" s="10"/>
    </row>
    <row r="179" spans="1:16" x14ac:dyDescent="0.3">
      <c r="A179" s="43" t="s">
        <v>135</v>
      </c>
      <c r="B179" t="str">
        <f>+IFERROR(B178/A178-1,"NM")</f>
        <v>NM</v>
      </c>
      <c r="C179" s="44">
        <f t="shared" ref="C179:I179" si="119">(C178-B178)/C178</f>
        <v>7.3754789272030649E-2</v>
      </c>
      <c r="D179" s="44">
        <f t="shared" si="119"/>
        <v>-9.6711798839458421E-3</v>
      </c>
      <c r="E179" s="44">
        <f t="shared" si="119"/>
        <v>0.16881028938906753</v>
      </c>
      <c r="F179" s="44">
        <f t="shared" si="119"/>
        <v>9.5930232558139539E-2</v>
      </c>
      <c r="G179" s="44">
        <f t="shared" si="119"/>
        <v>-0.11869918699186992</v>
      </c>
      <c r="H179" s="44">
        <f t="shared" si="119"/>
        <v>0.21805467260012715</v>
      </c>
      <c r="I179" s="44">
        <f t="shared" si="119"/>
        <v>0.18833849329205365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/>
      <c r="P179" s="44"/>
    </row>
    <row r="180" spans="1:16" x14ac:dyDescent="0.3">
      <c r="A180" s="43" t="s">
        <v>137</v>
      </c>
      <c r="B180" s="44">
        <f t="shared" ref="B180:N180" si="120">B178/B164</f>
        <v>0.20782290995056951</v>
      </c>
      <c r="C180" s="44">
        <f t="shared" si="120"/>
        <v>0.24183460736622656</v>
      </c>
      <c r="D180" s="44">
        <f t="shared" si="120"/>
        <v>0.21828161283512773</v>
      </c>
      <c r="E180" s="44">
        <f t="shared" si="120"/>
        <v>0.2408052651955091</v>
      </c>
      <c r="F180" s="44">
        <f t="shared" si="120"/>
        <v>0.26189569851541683</v>
      </c>
      <c r="G180" s="44">
        <f t="shared" si="120"/>
        <v>0.24463007159904535</v>
      </c>
      <c r="H180" s="44">
        <f t="shared" si="120"/>
        <v>0.2944038929440389</v>
      </c>
      <c r="I180" s="44">
        <f t="shared" si="120"/>
        <v>0.32544080604534004</v>
      </c>
      <c r="J180" s="44">
        <f t="shared" si="120"/>
        <v>0.32544080604534004</v>
      </c>
      <c r="K180" s="44">
        <f t="shared" si="120"/>
        <v>0.32544080604534004</v>
      </c>
      <c r="L180" s="44">
        <f t="shared" si="120"/>
        <v>0.32544080604534004</v>
      </c>
      <c r="M180" s="44">
        <f t="shared" si="120"/>
        <v>0.32544080604534004</v>
      </c>
      <c r="N180" s="44">
        <f t="shared" si="120"/>
        <v>0.32544080604534004</v>
      </c>
      <c r="O180" s="44" t="s">
        <v>150</v>
      </c>
      <c r="P180" s="44"/>
    </row>
    <row r="181" spans="1:16" x14ac:dyDescent="0.3">
      <c r="A181" s="11" t="s">
        <v>138</v>
      </c>
      <c r="B181" s="51">
        <f>+Historicals!B170</f>
        <v>49</v>
      </c>
      <c r="C181" s="51">
        <f>+Historicals!C170</f>
        <v>42</v>
      </c>
      <c r="D181" s="51">
        <f>+Historicals!D170</f>
        <v>54</v>
      </c>
      <c r="E181" s="51">
        <f>+Historicals!E170</f>
        <v>55</v>
      </c>
      <c r="F181" s="51">
        <f>+Historicals!F170</f>
        <v>53</v>
      </c>
      <c r="G181" s="51">
        <f>+Historicals!G170</f>
        <v>46</v>
      </c>
      <c r="H181" s="51">
        <f>+Historicals!H170</f>
        <v>43</v>
      </c>
      <c r="I181" s="51">
        <f>+Historicals!I170</f>
        <v>42</v>
      </c>
      <c r="J181" s="10">
        <f>I181*(1+J182)</f>
        <v>42</v>
      </c>
      <c r="K181" s="10">
        <f>J181*(1+K182)</f>
        <v>42</v>
      </c>
      <c r="L181" s="10">
        <f>K181*(1+L182)</f>
        <v>42</v>
      </c>
      <c r="M181" s="10">
        <f>L181*(1+M182)</f>
        <v>42</v>
      </c>
      <c r="N181" s="10">
        <f>M181*(1+N182)</f>
        <v>42</v>
      </c>
      <c r="O181" s="10"/>
      <c r="P181" s="10"/>
    </row>
    <row r="182" spans="1:16" x14ac:dyDescent="0.3">
      <c r="A182" s="43" t="s">
        <v>135</v>
      </c>
      <c r="B182" t="str">
        <f>+IFERROR(B181/A181-1,"NM")</f>
        <v>NM</v>
      </c>
      <c r="C182" s="44">
        <f t="shared" ref="C182:I182" si="121">(C181-B181)/C181</f>
        <v>-0.16666666666666666</v>
      </c>
      <c r="D182" s="44">
        <f t="shared" si="121"/>
        <v>0.22222222222222221</v>
      </c>
      <c r="E182" s="44">
        <f t="shared" si="121"/>
        <v>1.8181818181818181E-2</v>
      </c>
      <c r="F182" s="44">
        <f t="shared" si="121"/>
        <v>-3.7735849056603772E-2</v>
      </c>
      <c r="G182" s="44">
        <f t="shared" si="121"/>
        <v>-0.15217391304347827</v>
      </c>
      <c r="H182" s="44">
        <f t="shared" si="121"/>
        <v>-6.9767441860465115E-2</v>
      </c>
      <c r="I182" s="44">
        <f t="shared" si="121"/>
        <v>-2.3809523809523808E-2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/>
      <c r="P182" s="44"/>
    </row>
    <row r="183" spans="1:16" x14ac:dyDescent="0.3">
      <c r="A183" s="43" t="s">
        <v>139</v>
      </c>
      <c r="B183" s="44">
        <f t="shared" ref="B183:N183" si="122">B181/B164</f>
        <v>1.053084031807436E-2</v>
      </c>
      <c r="C183" s="44">
        <f t="shared" si="122"/>
        <v>9.7289784572619879E-3</v>
      </c>
      <c r="D183" s="44">
        <f t="shared" si="122"/>
        <v>1.1399620012666244E-2</v>
      </c>
      <c r="E183" s="44">
        <f t="shared" si="122"/>
        <v>1.064653503677894E-2</v>
      </c>
      <c r="F183" s="44">
        <f t="shared" si="122"/>
        <v>1.0087552341073468E-2</v>
      </c>
      <c r="G183" s="44">
        <f t="shared" si="122"/>
        <v>9.148766905330152E-3</v>
      </c>
      <c r="H183" s="44">
        <f t="shared" si="122"/>
        <v>8.0479131574022079E-3</v>
      </c>
      <c r="I183" s="44">
        <f t="shared" si="122"/>
        <v>7.0528967254408059E-3</v>
      </c>
      <c r="J183" s="44">
        <f t="shared" si="122"/>
        <v>7.0528967254408059E-3</v>
      </c>
      <c r="K183" s="44">
        <f t="shared" si="122"/>
        <v>7.0528967254408059E-3</v>
      </c>
      <c r="L183" s="44">
        <f t="shared" si="122"/>
        <v>7.0528967254408059E-3</v>
      </c>
      <c r="M183" s="44">
        <f t="shared" si="122"/>
        <v>7.0528967254408059E-3</v>
      </c>
      <c r="N183" s="44">
        <f t="shared" si="122"/>
        <v>7.0528967254408059E-3</v>
      </c>
      <c r="O183" s="44"/>
      <c r="P183" s="44"/>
    </row>
    <row r="184" spans="1:16" x14ac:dyDescent="0.3">
      <c r="A184" s="43" t="s">
        <v>146</v>
      </c>
      <c r="B184" s="44">
        <f t="shared" ref="B184:N184" si="123">B181/B191</f>
        <v>0.15909090909090909</v>
      </c>
      <c r="C184" s="44">
        <f t="shared" si="123"/>
        <v>0.12650602409638553</v>
      </c>
      <c r="D184" s="44">
        <f t="shared" si="123"/>
        <v>0.1588235294117647</v>
      </c>
      <c r="E184" s="44">
        <f t="shared" si="123"/>
        <v>0.16224188790560473</v>
      </c>
      <c r="F184" s="44">
        <f t="shared" si="123"/>
        <v>0.16257668711656442</v>
      </c>
      <c r="G184" s="44">
        <f t="shared" si="123"/>
        <v>0.1554054054054054</v>
      </c>
      <c r="H184" s="44">
        <f t="shared" si="123"/>
        <v>0.14144736842105263</v>
      </c>
      <c r="I184" s="44">
        <f t="shared" si="123"/>
        <v>0.15328467153284672</v>
      </c>
      <c r="J184" s="44">
        <f t="shared" si="123"/>
        <v>0.15328467153284672</v>
      </c>
      <c r="K184" s="44">
        <f t="shared" si="123"/>
        <v>0.15328467153284672</v>
      </c>
      <c r="L184" s="44">
        <f t="shared" si="123"/>
        <v>0.15328467153284672</v>
      </c>
      <c r="M184" s="44">
        <f t="shared" si="123"/>
        <v>0.15328467153284672</v>
      </c>
      <c r="N184" s="44">
        <f t="shared" si="123"/>
        <v>0.15328467153284672</v>
      </c>
      <c r="O184" s="44"/>
      <c r="P184" s="44"/>
    </row>
    <row r="185" spans="1:16" x14ac:dyDescent="0.3">
      <c r="A185" s="11" t="s">
        <v>140</v>
      </c>
      <c r="B185" s="51">
        <f>+Historicals!B137</f>
        <v>918</v>
      </c>
      <c r="C185" s="51">
        <f>+Historicals!C137</f>
        <v>1002</v>
      </c>
      <c r="D185" s="51">
        <f>+Historicals!D137</f>
        <v>980</v>
      </c>
      <c r="E185" s="51">
        <f>+Historicals!E137</f>
        <v>1189</v>
      </c>
      <c r="F185" s="51">
        <f>+Historicals!F137</f>
        <v>1323</v>
      </c>
      <c r="G185" s="51">
        <f>+Historicals!G137</f>
        <v>1184</v>
      </c>
      <c r="H185" s="51">
        <f>+Historicals!H137</f>
        <v>1530</v>
      </c>
      <c r="I185" s="51">
        <f>+Historicals!I137</f>
        <v>1896</v>
      </c>
      <c r="J185" s="10">
        <f>I178-I81</f>
        <v>1374</v>
      </c>
      <c r="K185" s="10">
        <f>J178-J81</f>
        <v>1374</v>
      </c>
      <c r="L185" s="10">
        <f>K178-K81</f>
        <v>1374</v>
      </c>
      <c r="M185" s="10">
        <f>L178-L81</f>
        <v>1374</v>
      </c>
      <c r="N185" s="10">
        <f>M178-M81</f>
        <v>1374</v>
      </c>
      <c r="O185" s="10"/>
      <c r="P185" s="10"/>
    </row>
    <row r="186" spans="1:16" x14ac:dyDescent="0.3">
      <c r="A186" s="43" t="s">
        <v>135</v>
      </c>
      <c r="B186" t="str">
        <f>+IFERROR(B185/A185-1,"NM")</f>
        <v>NM</v>
      </c>
      <c r="C186" s="44">
        <f t="shared" ref="C186:I186" si="124">(C185-B185)/C185</f>
        <v>8.3832335329341312E-2</v>
      </c>
      <c r="D186" s="44">
        <f t="shared" si="124"/>
        <v>-2.2448979591836733E-2</v>
      </c>
      <c r="E186" s="44">
        <f t="shared" si="124"/>
        <v>0.17577796467619849</v>
      </c>
      <c r="F186" s="44">
        <f t="shared" si="124"/>
        <v>0.10128495842781557</v>
      </c>
      <c r="G186" s="44">
        <f t="shared" si="124"/>
        <v>-0.11739864864864864</v>
      </c>
      <c r="H186" s="44">
        <f t="shared" si="124"/>
        <v>0.2261437908496732</v>
      </c>
      <c r="I186" s="44">
        <f t="shared" si="124"/>
        <v>0.19303797468354431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/>
      <c r="P186" s="44"/>
    </row>
    <row r="187" spans="1:16" x14ac:dyDescent="0.3">
      <c r="A187" s="43" t="s">
        <v>137</v>
      </c>
      <c r="B187" s="44">
        <f t="shared" ref="B187:N187" si="125">B185/B164</f>
        <v>0.19729206963249515</v>
      </c>
      <c r="C187" s="44">
        <f t="shared" si="125"/>
        <v>0.23210562890896455</v>
      </c>
      <c r="D187" s="44">
        <f t="shared" si="125"/>
        <v>0.20688199282246147</v>
      </c>
      <c r="E187" s="44">
        <f t="shared" si="125"/>
        <v>0.23015873015873015</v>
      </c>
      <c r="F187" s="44">
        <f t="shared" si="125"/>
        <v>0.25180814617434338</v>
      </c>
      <c r="G187" s="44">
        <f t="shared" si="125"/>
        <v>0.2354813046937152</v>
      </c>
      <c r="H187" s="44">
        <f t="shared" si="125"/>
        <v>0.28635597978663674</v>
      </c>
      <c r="I187" s="44">
        <f t="shared" si="125"/>
        <v>0.31838790931989924</v>
      </c>
      <c r="J187" s="44">
        <f t="shared" si="125"/>
        <v>0.23073047858942067</v>
      </c>
      <c r="K187" s="44">
        <f t="shared" si="125"/>
        <v>0.23073047858942067</v>
      </c>
      <c r="L187" s="44">
        <f t="shared" si="125"/>
        <v>0.23073047858942067</v>
      </c>
      <c r="M187" s="44">
        <f t="shared" si="125"/>
        <v>0.23073047858942067</v>
      </c>
      <c r="N187" s="44">
        <f t="shared" si="125"/>
        <v>0.23073047858942067</v>
      </c>
      <c r="O187" s="44"/>
      <c r="P187" s="44"/>
    </row>
    <row r="188" spans="1:16" x14ac:dyDescent="0.3">
      <c r="A188" s="11" t="s">
        <v>141</v>
      </c>
      <c r="B188" s="51">
        <v>52</v>
      </c>
      <c r="C188" s="51">
        <v>64</v>
      </c>
      <c r="D188" s="51">
        <v>59</v>
      </c>
      <c r="E188" s="51">
        <v>49</v>
      </c>
      <c r="F188" s="51">
        <v>47</v>
      </c>
      <c r="G188" s="51">
        <v>41</v>
      </c>
      <c r="H188" s="51">
        <v>54</v>
      </c>
      <c r="I188" s="51">
        <v>56</v>
      </c>
      <c r="J188" s="10">
        <f>I188*(1+J189)</f>
        <v>56</v>
      </c>
      <c r="K188" s="10">
        <f>J188*(1+K189)</f>
        <v>56</v>
      </c>
      <c r="L188" s="10">
        <f>K188*(1+L189)</f>
        <v>56</v>
      </c>
      <c r="M188" s="10">
        <f>L188*(1+M189)</f>
        <v>56</v>
      </c>
      <c r="N188" s="10">
        <f>M188*(1+N189)</f>
        <v>56</v>
      </c>
      <c r="O188" s="10"/>
      <c r="P188" s="10"/>
    </row>
    <row r="189" spans="1:16" x14ac:dyDescent="0.3">
      <c r="A189" s="43" t="s">
        <v>135</v>
      </c>
      <c r="B189" t="str">
        <f>+IFERROR(B188/A188-1,"NM")</f>
        <v>NM</v>
      </c>
      <c r="C189" s="44">
        <f t="shared" ref="C189:I189" si="126">(C188-B188)/C188</f>
        <v>0.1875</v>
      </c>
      <c r="D189" s="44">
        <f t="shared" si="126"/>
        <v>-8.4745762711864403E-2</v>
      </c>
      <c r="E189" s="44">
        <f t="shared" si="126"/>
        <v>-0.20408163265306123</v>
      </c>
      <c r="F189" s="44">
        <f t="shared" si="126"/>
        <v>-4.2553191489361701E-2</v>
      </c>
      <c r="G189" s="44">
        <f t="shared" si="126"/>
        <v>-0.14634146341463414</v>
      </c>
      <c r="H189" s="44">
        <f t="shared" si="126"/>
        <v>0.24074074074074073</v>
      </c>
      <c r="I189" s="44">
        <f t="shared" si="126"/>
        <v>3.5714285714285712E-2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/>
      <c r="P189" s="44"/>
    </row>
    <row r="190" spans="1:16" x14ac:dyDescent="0.3">
      <c r="A190" s="43" t="s">
        <v>139</v>
      </c>
      <c r="B190" s="44">
        <f t="shared" ref="B190:N190" si="127">B188/B164</f>
        <v>1.117558564367075E-2</v>
      </c>
      <c r="C190" s="44">
        <f t="shared" si="127"/>
        <v>1.4825110030113504E-2</v>
      </c>
      <c r="D190" s="44">
        <f t="shared" si="127"/>
        <v>1.2455140384209416E-2</v>
      </c>
      <c r="E190" s="44">
        <f t="shared" si="127"/>
        <v>9.485094850948509E-3</v>
      </c>
      <c r="F190" s="44">
        <f t="shared" si="127"/>
        <v>8.9455652835934533E-3</v>
      </c>
      <c r="G190" s="44">
        <f t="shared" si="127"/>
        <v>8.1543357199681775E-3</v>
      </c>
      <c r="H190" s="44">
        <f t="shared" si="127"/>
        <v>1.0106681639528355E-2</v>
      </c>
      <c r="I190" s="44">
        <f t="shared" si="127"/>
        <v>9.4038623005877411E-3</v>
      </c>
      <c r="J190" s="44">
        <f t="shared" si="127"/>
        <v>9.4038623005877411E-3</v>
      </c>
      <c r="K190" s="44">
        <f t="shared" si="127"/>
        <v>9.4038623005877411E-3</v>
      </c>
      <c r="L190" s="44">
        <f t="shared" si="127"/>
        <v>9.4038623005877411E-3</v>
      </c>
      <c r="M190" s="44">
        <f t="shared" si="127"/>
        <v>9.4038623005877411E-3</v>
      </c>
      <c r="N190" s="44">
        <f t="shared" si="127"/>
        <v>9.4038623005877411E-3</v>
      </c>
      <c r="O190" s="44"/>
      <c r="P190" s="44"/>
    </row>
    <row r="191" spans="1:16" x14ac:dyDescent="0.3">
      <c r="A191" s="11" t="s">
        <v>142</v>
      </c>
      <c r="B191" s="51">
        <f>+Historicals!B148</f>
        <v>308</v>
      </c>
      <c r="C191" s="51">
        <f>+Historicals!C148</f>
        <v>332</v>
      </c>
      <c r="D191" s="51">
        <f>+Historicals!D148</f>
        <v>340</v>
      </c>
      <c r="E191" s="51">
        <f>+Historicals!E148</f>
        <v>339</v>
      </c>
      <c r="F191" s="51">
        <f>+Historicals!F148</f>
        <v>326</v>
      </c>
      <c r="G191" s="51">
        <f>+Historicals!G148</f>
        <v>296</v>
      </c>
      <c r="H191" s="51">
        <f>+Historicals!H148</f>
        <v>304</v>
      </c>
      <c r="I191" s="51">
        <f>+Historicals!I148</f>
        <v>274</v>
      </c>
      <c r="J191" s="10">
        <f>I191*(1+J192)</f>
        <v>274</v>
      </c>
      <c r="K191" s="10">
        <f>J191*(1+K192)</f>
        <v>274</v>
      </c>
      <c r="L191" s="10">
        <f>K191*(1+L192)</f>
        <v>274</v>
      </c>
      <c r="M191" s="10">
        <f>L191*(1+M192)</f>
        <v>274</v>
      </c>
      <c r="N191" s="10">
        <f>M191*(1+N192)</f>
        <v>274</v>
      </c>
      <c r="O191" s="10"/>
      <c r="P191" s="10"/>
    </row>
    <row r="192" spans="1:16" x14ac:dyDescent="0.3">
      <c r="A192" s="43" t="s">
        <v>135</v>
      </c>
      <c r="B192" t="str">
        <f>+IFERROR(B191/A191-1,"NM")</f>
        <v>NM</v>
      </c>
      <c r="C192" s="44">
        <f t="shared" ref="C192:I192" si="128">(C191-B191)/C191</f>
        <v>7.2289156626506021E-2</v>
      </c>
      <c r="D192" s="44">
        <f t="shared" si="128"/>
        <v>2.3529411764705882E-2</v>
      </c>
      <c r="E192" s="44">
        <f t="shared" si="128"/>
        <v>-2.9498525073746312E-3</v>
      </c>
      <c r="F192" s="44">
        <f t="shared" si="128"/>
        <v>-3.9877300613496931E-2</v>
      </c>
      <c r="G192" s="44">
        <f t="shared" si="128"/>
        <v>-0.10135135135135136</v>
      </c>
      <c r="H192" s="44">
        <f t="shared" si="128"/>
        <v>2.6315789473684209E-2</v>
      </c>
      <c r="I192" s="44">
        <f t="shared" si="128"/>
        <v>-0.10948905109489052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/>
      <c r="P192" s="44"/>
    </row>
    <row r="193" spans="1:16" x14ac:dyDescent="0.3">
      <c r="A193" s="43" t="s">
        <v>139</v>
      </c>
      <c r="B193" s="44">
        <f t="shared" ref="B193:N193" si="129">B191/B164</f>
        <v>6.6193853427895979E-2</v>
      </c>
      <c r="C193" s="44">
        <f t="shared" si="129"/>
        <v>7.6905258281213806E-2</v>
      </c>
      <c r="D193" s="44">
        <f t="shared" si="129"/>
        <v>7.1775385264935612E-2</v>
      </c>
      <c r="E193" s="44">
        <f t="shared" si="129"/>
        <v>6.5621370499419282E-2</v>
      </c>
      <c r="F193" s="44">
        <f t="shared" si="129"/>
        <v>6.2047963456414161E-2</v>
      </c>
      <c r="G193" s="44">
        <f t="shared" si="129"/>
        <v>5.88703261734288E-2</v>
      </c>
      <c r="H193" s="44">
        <f t="shared" si="129"/>
        <v>5.6896874415122589E-2</v>
      </c>
      <c r="I193" s="44">
        <f t="shared" si="129"/>
        <v>4.6011754827875735E-2</v>
      </c>
      <c r="J193" s="44">
        <f t="shared" si="129"/>
        <v>4.6011754827875735E-2</v>
      </c>
      <c r="K193" s="44">
        <f t="shared" si="129"/>
        <v>4.6011754827875735E-2</v>
      </c>
      <c r="L193" s="44">
        <f t="shared" si="129"/>
        <v>4.6011754827875735E-2</v>
      </c>
      <c r="M193" s="44">
        <f t="shared" si="129"/>
        <v>4.6011754827875735E-2</v>
      </c>
      <c r="N193" s="44">
        <f t="shared" si="129"/>
        <v>4.6011754827875735E-2</v>
      </c>
      <c r="O193" s="44"/>
      <c r="P193" s="44"/>
    </row>
    <row r="194" spans="1:16" x14ac:dyDescent="0.3">
      <c r="A194" s="47" t="s">
        <v>118</v>
      </c>
      <c r="B194" s="47"/>
      <c r="C194" s="47"/>
      <c r="D194" s="47"/>
      <c r="E194" s="47"/>
      <c r="F194" s="47"/>
      <c r="G194" s="47"/>
      <c r="H194" s="47"/>
      <c r="I194" s="47"/>
      <c r="J194" s="41"/>
      <c r="K194" s="41"/>
      <c r="L194" s="41"/>
      <c r="M194" s="41"/>
      <c r="N194" s="41"/>
      <c r="O194" s="41"/>
      <c r="P194" s="41"/>
    </row>
    <row r="195" spans="1:16" x14ac:dyDescent="0.3">
      <c r="A195" s="11" t="s">
        <v>143</v>
      </c>
      <c r="B195" s="51">
        <f>+Historicals!B130</f>
        <v>-82</v>
      </c>
      <c r="C195" s="51">
        <f>+Historicals!C130</f>
        <v>-86</v>
      </c>
      <c r="D195" s="51">
        <f>+Historicals!D130</f>
        <v>75</v>
      </c>
      <c r="E195" s="51">
        <f>+Historicals!E130</f>
        <v>26</v>
      </c>
      <c r="F195" s="51">
        <f>+Historicals!F130</f>
        <v>-7</v>
      </c>
      <c r="G195" s="51">
        <f>+Historicals!G130</f>
        <v>-11</v>
      </c>
      <c r="H195" s="51">
        <f>+Historicals!H130</f>
        <v>40</v>
      </c>
      <c r="I195" s="51">
        <f>+Historicals!I130</f>
        <v>-72</v>
      </c>
      <c r="J195" s="10">
        <f>I195*(1+J196)</f>
        <v>-72</v>
      </c>
      <c r="K195" s="10">
        <f>J195*(1+K196)</f>
        <v>-72</v>
      </c>
      <c r="L195" s="10">
        <f>K195*(1+L196)</f>
        <v>-72</v>
      </c>
      <c r="M195" s="10">
        <f>L195*(1+M196)</f>
        <v>-72</v>
      </c>
      <c r="N195" s="10">
        <f>M195*(1+N196)</f>
        <v>-72</v>
      </c>
      <c r="O195" s="10"/>
      <c r="P195" s="10"/>
    </row>
    <row r="196" spans="1:16" x14ac:dyDescent="0.3">
      <c r="A196" s="48" t="s">
        <v>135</v>
      </c>
      <c r="B196" t="str">
        <f>+IFERROR(B195/A195-1,"NM")</f>
        <v>NM</v>
      </c>
      <c r="C196" s="44">
        <f t="shared" ref="C196:I196" si="130">(C195-B195)/C195</f>
        <v>4.6511627906976744E-2</v>
      </c>
      <c r="D196" s="44">
        <f t="shared" si="130"/>
        <v>2.1466666666666665</v>
      </c>
      <c r="E196" s="44">
        <f t="shared" si="130"/>
        <v>-1.8846153846153846</v>
      </c>
      <c r="F196" s="44">
        <f t="shared" si="130"/>
        <v>4.7142857142857144</v>
      </c>
      <c r="G196" s="44">
        <f t="shared" si="130"/>
        <v>0.36363636363636365</v>
      </c>
      <c r="H196" s="44">
        <f t="shared" si="130"/>
        <v>1.2749999999999999</v>
      </c>
      <c r="I196" s="44">
        <f t="shared" si="130"/>
        <v>1.5555555555555556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/>
      <c r="P196" s="44"/>
    </row>
    <row r="197" spans="1:16" x14ac:dyDescent="0.3">
      <c r="A197" s="11" t="s">
        <v>136</v>
      </c>
      <c r="B197" s="10">
        <f t="shared" ref="B197:I197" si="131">B200+B203</f>
        <v>-1022</v>
      </c>
      <c r="C197" s="10">
        <f t="shared" si="131"/>
        <v>-1089</v>
      </c>
      <c r="D197" s="10">
        <f t="shared" si="131"/>
        <v>-633</v>
      </c>
      <c r="E197" s="10">
        <f t="shared" si="131"/>
        <v>-1346</v>
      </c>
      <c r="F197" s="10">
        <f t="shared" si="131"/>
        <v>-1694</v>
      </c>
      <c r="G197" s="10">
        <f t="shared" si="131"/>
        <v>-1855</v>
      </c>
      <c r="H197" s="10">
        <f t="shared" si="131"/>
        <v>-2120</v>
      </c>
      <c r="I197" s="10">
        <f t="shared" si="131"/>
        <v>-2085</v>
      </c>
      <c r="J197" s="10">
        <f>I197*(1+J198)</f>
        <v>-2085</v>
      </c>
      <c r="K197" s="10">
        <f>J197*(1+K198)</f>
        <v>-2085</v>
      </c>
      <c r="L197" s="10">
        <f>K197*(1+L198)</f>
        <v>-2085</v>
      </c>
      <c r="M197" s="10">
        <f>L197*(1+M198)</f>
        <v>-2085</v>
      </c>
      <c r="N197" s="10">
        <f>M197*(1+N198)</f>
        <v>-2085</v>
      </c>
      <c r="O197" s="10"/>
      <c r="P197" s="10"/>
    </row>
    <row r="198" spans="1:16" x14ac:dyDescent="0.3">
      <c r="A198" s="43" t="s">
        <v>135</v>
      </c>
      <c r="B198" t="str">
        <f>+IFERROR(B197/A197-1,"NM")</f>
        <v>NM</v>
      </c>
      <c r="C198" s="44">
        <f t="shared" ref="C198:I198" si="132">(C197-B197)/C197</f>
        <v>6.1524334251606978E-2</v>
      </c>
      <c r="D198" s="44">
        <f t="shared" si="132"/>
        <v>-0.72037914691943128</v>
      </c>
      <c r="E198" s="44">
        <f t="shared" si="132"/>
        <v>0.52971768202080238</v>
      </c>
      <c r="F198" s="44">
        <f t="shared" si="132"/>
        <v>0.20543093270365997</v>
      </c>
      <c r="G198" s="44">
        <f t="shared" si="132"/>
        <v>8.6792452830188674E-2</v>
      </c>
      <c r="H198" s="44">
        <f t="shared" si="132"/>
        <v>0.125</v>
      </c>
      <c r="I198" s="44">
        <f t="shared" si="132"/>
        <v>-1.6786570743405275E-2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/>
      <c r="P198" s="44"/>
    </row>
    <row r="199" spans="1:16" x14ac:dyDescent="0.3">
      <c r="A199" s="43" t="s">
        <v>137</v>
      </c>
      <c r="B199" s="44">
        <f t="shared" ref="B199:N199" si="133">B197/B195</f>
        <v>12.463414634146341</v>
      </c>
      <c r="C199" s="44">
        <f t="shared" si="133"/>
        <v>12.662790697674419</v>
      </c>
      <c r="D199" s="44">
        <f t="shared" si="133"/>
        <v>-8.44</v>
      </c>
      <c r="E199" s="44">
        <f t="shared" si="133"/>
        <v>-51.769230769230766</v>
      </c>
      <c r="F199" s="44">
        <f t="shared" si="133"/>
        <v>242</v>
      </c>
      <c r="G199" s="44">
        <f t="shared" si="133"/>
        <v>168.63636363636363</v>
      </c>
      <c r="H199" s="44">
        <f t="shared" si="133"/>
        <v>-53</v>
      </c>
      <c r="I199" s="44">
        <f t="shared" si="133"/>
        <v>28.958333333333332</v>
      </c>
      <c r="J199" s="44">
        <f t="shared" si="133"/>
        <v>28.958333333333332</v>
      </c>
      <c r="K199" s="44">
        <f t="shared" si="133"/>
        <v>28.958333333333332</v>
      </c>
      <c r="L199" s="44">
        <f t="shared" si="133"/>
        <v>28.958333333333332</v>
      </c>
      <c r="M199" s="44">
        <f t="shared" si="133"/>
        <v>28.958333333333332</v>
      </c>
      <c r="N199" s="44">
        <f t="shared" si="133"/>
        <v>28.958333333333332</v>
      </c>
      <c r="O199" s="44"/>
      <c r="P199" s="44"/>
    </row>
    <row r="200" spans="1:16" x14ac:dyDescent="0.3">
      <c r="A200" s="11" t="s">
        <v>138</v>
      </c>
      <c r="B200" s="51">
        <f>+Historicals!B174</f>
        <v>75</v>
      </c>
      <c r="C200" s="51">
        <f>+Historicals!C174</f>
        <v>84</v>
      </c>
      <c r="D200" s="51">
        <f>+Historicals!D174</f>
        <v>91</v>
      </c>
      <c r="E200" s="51">
        <f>+Historicals!E174</f>
        <v>110</v>
      </c>
      <c r="F200" s="51">
        <f>+Historicals!F174</f>
        <v>116</v>
      </c>
      <c r="G200" s="51">
        <f>+Historicals!G174</f>
        <v>112</v>
      </c>
      <c r="H200" s="51">
        <f>+Historicals!H174</f>
        <v>141</v>
      </c>
      <c r="I200" s="51">
        <f>+Historicals!I174</f>
        <v>134</v>
      </c>
      <c r="J200" s="10">
        <f>I200*(1+J201)</f>
        <v>134</v>
      </c>
      <c r="K200" s="10">
        <f>J200*(1+K201)</f>
        <v>134</v>
      </c>
      <c r="L200" s="10">
        <f>K200*(1+L201)</f>
        <v>134</v>
      </c>
      <c r="M200" s="10">
        <f>L200*(1+M201)</f>
        <v>134</v>
      </c>
      <c r="N200" s="10">
        <f>M200*(1+N201)</f>
        <v>134</v>
      </c>
      <c r="O200" s="10"/>
      <c r="P200" s="10"/>
    </row>
    <row r="201" spans="1:16" x14ac:dyDescent="0.3">
      <c r="A201" s="43" t="s">
        <v>135</v>
      </c>
      <c r="B201" t="str">
        <f>+IFERROR(B200/A200-1,"NM")</f>
        <v>NM</v>
      </c>
      <c r="C201" s="44">
        <f t="shared" ref="C201:I201" si="134">(C200-B200)/C200</f>
        <v>0.10714285714285714</v>
      </c>
      <c r="D201" s="44">
        <f t="shared" si="134"/>
        <v>7.6923076923076927E-2</v>
      </c>
      <c r="E201" s="44">
        <f t="shared" si="134"/>
        <v>0.17272727272727273</v>
      </c>
      <c r="F201" s="44">
        <f t="shared" si="134"/>
        <v>5.1724137931034482E-2</v>
      </c>
      <c r="G201" s="44">
        <f t="shared" si="134"/>
        <v>-3.5714285714285712E-2</v>
      </c>
      <c r="H201" s="44">
        <f t="shared" si="134"/>
        <v>0.20567375886524822</v>
      </c>
      <c r="I201" s="44">
        <f t="shared" si="134"/>
        <v>-5.2238805970149252E-2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/>
      <c r="P201" s="44"/>
    </row>
    <row r="202" spans="1:16" x14ac:dyDescent="0.3">
      <c r="A202" s="43" t="s">
        <v>139</v>
      </c>
      <c r="B202" s="44">
        <f t="shared" ref="B202:N202" si="135">B200/B195</f>
        <v>-0.91463414634146345</v>
      </c>
      <c r="C202" s="44">
        <f t="shared" si="135"/>
        <v>-0.97674418604651159</v>
      </c>
      <c r="D202" s="44">
        <f t="shared" si="135"/>
        <v>1.2133333333333334</v>
      </c>
      <c r="E202" s="44">
        <f t="shared" si="135"/>
        <v>4.2307692307692308</v>
      </c>
      <c r="F202" s="44">
        <f t="shared" si="135"/>
        <v>-16.571428571428573</v>
      </c>
      <c r="G202" s="44">
        <f t="shared" si="135"/>
        <v>-10.181818181818182</v>
      </c>
      <c r="H202" s="44">
        <f t="shared" si="135"/>
        <v>3.5249999999999999</v>
      </c>
      <c r="I202" s="44">
        <f t="shared" si="135"/>
        <v>-1.8611111111111112</v>
      </c>
      <c r="J202" s="44">
        <f t="shared" si="135"/>
        <v>-1.8611111111111112</v>
      </c>
      <c r="K202" s="44">
        <f t="shared" si="135"/>
        <v>-1.8611111111111112</v>
      </c>
      <c r="L202" s="44">
        <f t="shared" si="135"/>
        <v>-1.8611111111111112</v>
      </c>
      <c r="M202" s="44">
        <f t="shared" si="135"/>
        <v>-1.8611111111111112</v>
      </c>
      <c r="N202" s="44">
        <f t="shared" si="135"/>
        <v>-1.8611111111111112</v>
      </c>
      <c r="O202" s="44"/>
      <c r="P202" s="44"/>
    </row>
    <row r="203" spans="1:16" x14ac:dyDescent="0.3">
      <c r="A203" s="11" t="s">
        <v>140</v>
      </c>
      <c r="B203" s="51">
        <f>+Historicals!B141</f>
        <v>-1097</v>
      </c>
      <c r="C203" s="51">
        <f>+Historicals!C141</f>
        <v>-1173</v>
      </c>
      <c r="D203" s="51">
        <f>+Historicals!D141</f>
        <v>-724</v>
      </c>
      <c r="E203" s="51">
        <f>+Historicals!E141</f>
        <v>-1456</v>
      </c>
      <c r="F203" s="51">
        <f>+Historicals!F141</f>
        <v>-1810</v>
      </c>
      <c r="G203" s="51">
        <f>+Historicals!G141</f>
        <v>-1967</v>
      </c>
      <c r="H203" s="51">
        <f>+Historicals!H141</f>
        <v>-2261</v>
      </c>
      <c r="I203" s="51">
        <f>+Historicals!I141</f>
        <v>-2219</v>
      </c>
      <c r="J203" s="10">
        <f>I197-I200</f>
        <v>-2219</v>
      </c>
      <c r="K203" s="10">
        <f>J197-J200</f>
        <v>-2219</v>
      </c>
      <c r="L203" s="10">
        <f>K197-K200</f>
        <v>-2219</v>
      </c>
      <c r="M203" s="10">
        <f>L197-L200</f>
        <v>-2219</v>
      </c>
      <c r="N203" s="10">
        <f>M197-M200</f>
        <v>-2219</v>
      </c>
      <c r="O203" s="10"/>
      <c r="P203" s="10"/>
    </row>
    <row r="204" spans="1:16" x14ac:dyDescent="0.3">
      <c r="A204" s="43" t="s">
        <v>135</v>
      </c>
      <c r="B204" t="str">
        <f>+IFERROR(B203/A203-1,"NM")</f>
        <v>NM</v>
      </c>
      <c r="C204" s="44">
        <f t="shared" ref="C204:I204" si="136">(C203-B203)/C203</f>
        <v>6.479113384484228E-2</v>
      </c>
      <c r="D204" s="44">
        <f t="shared" si="136"/>
        <v>-0.62016574585635365</v>
      </c>
      <c r="E204" s="44">
        <f t="shared" si="136"/>
        <v>0.50274725274725274</v>
      </c>
      <c r="F204" s="44">
        <f t="shared" si="136"/>
        <v>0.19558011049723756</v>
      </c>
      <c r="G204" s="44">
        <f t="shared" si="136"/>
        <v>7.9816980172852062E-2</v>
      </c>
      <c r="H204" s="44">
        <f t="shared" si="136"/>
        <v>0.13003095975232198</v>
      </c>
      <c r="I204" s="44">
        <f t="shared" si="136"/>
        <v>-1.8927444794952682E-2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/>
      <c r="P204" s="44"/>
    </row>
    <row r="205" spans="1:16" x14ac:dyDescent="0.3">
      <c r="A205" s="43" t="s">
        <v>137</v>
      </c>
      <c r="B205" s="44">
        <f t="shared" ref="B205:N205" si="137">B203/B195</f>
        <v>13.378048780487806</v>
      </c>
      <c r="C205" s="44">
        <f t="shared" si="137"/>
        <v>13.63953488372093</v>
      </c>
      <c r="D205" s="44">
        <f t="shared" si="137"/>
        <v>-9.6533333333333342</v>
      </c>
      <c r="E205" s="44">
        <f t="shared" si="137"/>
        <v>-56</v>
      </c>
      <c r="F205" s="44">
        <f t="shared" si="137"/>
        <v>258.57142857142856</v>
      </c>
      <c r="G205" s="44">
        <f t="shared" si="137"/>
        <v>178.81818181818181</v>
      </c>
      <c r="H205" s="44">
        <f t="shared" si="137"/>
        <v>-56.524999999999999</v>
      </c>
      <c r="I205" s="44">
        <f t="shared" si="137"/>
        <v>30.819444444444443</v>
      </c>
      <c r="J205" s="44">
        <f t="shared" si="137"/>
        <v>30.819444444444443</v>
      </c>
      <c r="K205" s="44">
        <f t="shared" si="137"/>
        <v>30.819444444444443</v>
      </c>
      <c r="L205" s="44">
        <f t="shared" si="137"/>
        <v>30.819444444444443</v>
      </c>
      <c r="M205" s="44">
        <f t="shared" si="137"/>
        <v>30.819444444444443</v>
      </c>
      <c r="N205" s="44">
        <f t="shared" si="137"/>
        <v>30.819444444444443</v>
      </c>
      <c r="O205" s="44"/>
      <c r="P205" s="44"/>
    </row>
    <row r="206" spans="1:16" x14ac:dyDescent="0.3">
      <c r="A206" s="11" t="s">
        <v>141</v>
      </c>
      <c r="B206" s="56">
        <v>144</v>
      </c>
      <c r="C206" s="56">
        <v>312</v>
      </c>
      <c r="D206" s="56">
        <v>387</v>
      </c>
      <c r="E206" s="56">
        <v>325</v>
      </c>
      <c r="F206" s="56">
        <v>333</v>
      </c>
      <c r="G206" s="56">
        <v>356</v>
      </c>
      <c r="H206" s="56">
        <v>107</v>
      </c>
      <c r="I206" s="56">
        <v>103</v>
      </c>
      <c r="J206" s="10">
        <f>I206*(1+J207)</f>
        <v>103</v>
      </c>
      <c r="K206" s="10">
        <f>J206*(1+K207)</f>
        <v>103</v>
      </c>
      <c r="L206" s="10">
        <f>K206*(1+L207)</f>
        <v>103</v>
      </c>
      <c r="M206" s="10">
        <f>L206*(1+M207)</f>
        <v>103</v>
      </c>
      <c r="N206" s="10">
        <f>M206*(1+N207)</f>
        <v>103</v>
      </c>
      <c r="O206" s="10"/>
      <c r="P206" s="10"/>
    </row>
    <row r="207" spans="1:16" x14ac:dyDescent="0.3">
      <c r="A207" s="43" t="s">
        <v>135</v>
      </c>
      <c r="B207" t="str">
        <f>+IFERROR(B206/A206-1,"NM")</f>
        <v>NM</v>
      </c>
      <c r="C207" s="44">
        <f t="shared" ref="C207:I207" si="138">(C206-B206)/C206</f>
        <v>0.53846153846153844</v>
      </c>
      <c r="D207" s="44">
        <f t="shared" si="138"/>
        <v>0.19379844961240311</v>
      </c>
      <c r="E207" s="44">
        <f t="shared" si="138"/>
        <v>-0.19076923076923077</v>
      </c>
      <c r="F207" s="44">
        <f t="shared" si="138"/>
        <v>2.4024024024024024E-2</v>
      </c>
      <c r="G207" s="44">
        <f t="shared" si="138"/>
        <v>6.4606741573033713E-2</v>
      </c>
      <c r="H207" s="44">
        <f t="shared" si="138"/>
        <v>-2.3271028037383177</v>
      </c>
      <c r="I207" s="44">
        <f t="shared" si="138"/>
        <v>-3.8834951456310676E-2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/>
      <c r="P207" s="44"/>
    </row>
    <row r="208" spans="1:16" x14ac:dyDescent="0.3">
      <c r="A208" s="43" t="s">
        <v>139</v>
      </c>
      <c r="B208" s="44">
        <f t="shared" ref="B208:N208" si="139">B206/B195</f>
        <v>-1.7560975609756098</v>
      </c>
      <c r="C208" s="44">
        <f t="shared" si="139"/>
        <v>-3.6279069767441858</v>
      </c>
      <c r="D208" s="44">
        <f t="shared" si="139"/>
        <v>5.16</v>
      </c>
      <c r="E208" s="44">
        <f t="shared" si="139"/>
        <v>12.5</v>
      </c>
      <c r="F208" s="44">
        <f t="shared" si="139"/>
        <v>-47.571428571428569</v>
      </c>
      <c r="G208" s="44">
        <f t="shared" si="139"/>
        <v>-32.363636363636367</v>
      </c>
      <c r="H208" s="44">
        <f t="shared" si="139"/>
        <v>2.6749999999999998</v>
      </c>
      <c r="I208" s="44">
        <f t="shared" si="139"/>
        <v>-1.4305555555555556</v>
      </c>
      <c r="J208" s="44">
        <f t="shared" si="139"/>
        <v>-1.4305555555555556</v>
      </c>
      <c r="K208" s="44">
        <f t="shared" si="139"/>
        <v>-1.4305555555555556</v>
      </c>
      <c r="L208" s="44">
        <f t="shared" si="139"/>
        <v>-1.4305555555555556</v>
      </c>
      <c r="M208" s="44">
        <f t="shared" si="139"/>
        <v>-1.4305555555555556</v>
      </c>
      <c r="N208" s="44">
        <f t="shared" si="139"/>
        <v>-1.4305555555555556</v>
      </c>
      <c r="O208" s="44"/>
      <c r="P208" s="44"/>
    </row>
    <row r="209" spans="1:16" x14ac:dyDescent="0.3">
      <c r="A209" s="11" t="s">
        <v>142</v>
      </c>
      <c r="B209" s="51">
        <f>+Historicals!B152</f>
        <v>713</v>
      </c>
      <c r="C209" s="51">
        <f>+Historicals!C152</f>
        <v>937</v>
      </c>
      <c r="D209" s="51">
        <f>+Historicals!D152</f>
        <v>1238</v>
      </c>
      <c r="E209" s="51">
        <f>+Historicals!E152</f>
        <v>1450</v>
      </c>
      <c r="F209" s="51">
        <f>+Historicals!F152</f>
        <v>1673</v>
      </c>
      <c r="G209" s="51">
        <f>+Historicals!G152</f>
        <v>1916</v>
      </c>
      <c r="H209" s="51">
        <f>+Historicals!H152</f>
        <v>1870</v>
      </c>
      <c r="I209" s="51">
        <f>+Historicals!I152</f>
        <v>1817</v>
      </c>
      <c r="J209" s="10">
        <f>I209*(1+J210)</f>
        <v>1817</v>
      </c>
      <c r="K209" s="10">
        <f>J209*(1+K210)</f>
        <v>1817</v>
      </c>
      <c r="L209" s="10">
        <f>K209*(1+L210)</f>
        <v>1817</v>
      </c>
      <c r="M209" s="10">
        <f>L209*(1+M210)</f>
        <v>1817</v>
      </c>
      <c r="N209" s="10">
        <f>M209*(1+N210)</f>
        <v>1817</v>
      </c>
      <c r="O209" s="10"/>
      <c r="P209" s="10"/>
    </row>
    <row r="210" spans="1:16" x14ac:dyDescent="0.3">
      <c r="A210" s="43" t="s">
        <v>135</v>
      </c>
      <c r="B210" t="str">
        <f>+IFERROR(B209/A209-1,"NM")</f>
        <v>NM</v>
      </c>
      <c r="C210" s="44">
        <f t="shared" ref="C210:I210" si="140">(C209-B209)/C209</f>
        <v>0.23906083244397011</v>
      </c>
      <c r="D210" s="44">
        <f t="shared" si="140"/>
        <v>0.24313408723747981</v>
      </c>
      <c r="E210" s="44">
        <f t="shared" si="140"/>
        <v>0.14620689655172414</v>
      </c>
      <c r="F210" s="44">
        <f t="shared" si="140"/>
        <v>0.13329348475791991</v>
      </c>
      <c r="G210" s="44">
        <f t="shared" si="140"/>
        <v>0.12682672233820461</v>
      </c>
      <c r="H210" s="44">
        <f t="shared" si="140"/>
        <v>-2.4598930481283421E-2</v>
      </c>
      <c r="I210" s="44">
        <f t="shared" si="140"/>
        <v>-2.9168959823885527E-2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/>
      <c r="P210" s="44"/>
    </row>
    <row r="211" spans="1:16" x14ac:dyDescent="0.3">
      <c r="A211" s="43" t="s">
        <v>139</v>
      </c>
      <c r="B211" s="44">
        <f t="shared" ref="B211:N211" si="141">B209/B195</f>
        <v>-8.6951219512195124</v>
      </c>
      <c r="C211" s="44">
        <f t="shared" si="141"/>
        <v>-10.895348837209303</v>
      </c>
      <c r="D211" s="44">
        <f t="shared" si="141"/>
        <v>16.506666666666668</v>
      </c>
      <c r="E211" s="44">
        <f t="shared" si="141"/>
        <v>55.769230769230766</v>
      </c>
      <c r="F211" s="44">
        <f t="shared" si="141"/>
        <v>-239</v>
      </c>
      <c r="G211" s="44">
        <f t="shared" si="141"/>
        <v>-174.18181818181819</v>
      </c>
      <c r="H211" s="44">
        <f t="shared" si="141"/>
        <v>46.75</v>
      </c>
      <c r="I211" s="44">
        <f t="shared" si="141"/>
        <v>-25.236111111111111</v>
      </c>
      <c r="J211" s="44">
        <f t="shared" si="141"/>
        <v>-25.236111111111111</v>
      </c>
      <c r="K211" s="44">
        <f t="shared" si="141"/>
        <v>-25.236111111111111</v>
      </c>
      <c r="L211" s="44">
        <f t="shared" si="141"/>
        <v>-25.236111111111111</v>
      </c>
      <c r="M211" s="44">
        <f t="shared" si="141"/>
        <v>-25.236111111111111</v>
      </c>
      <c r="N211" s="44">
        <f t="shared" si="141"/>
        <v>-25.236111111111111</v>
      </c>
      <c r="O211" s="44"/>
      <c r="P211" s="44"/>
    </row>
    <row r="212" spans="1:16" x14ac:dyDescent="0.3">
      <c r="A212" s="11"/>
    </row>
    <row r="213" spans="1:16" x14ac:dyDescent="0.3">
      <c r="A213" s="43"/>
    </row>
    <row r="214" spans="1:16" x14ac:dyDescent="0.3">
      <c r="A214" s="43"/>
    </row>
    <row r="215" spans="1:16" x14ac:dyDescent="0.3">
      <c r="A215" s="11"/>
    </row>
    <row r="216" spans="1:16" x14ac:dyDescent="0.3">
      <c r="A216" s="43"/>
    </row>
    <row r="217" spans="1:16" x14ac:dyDescent="0.3">
      <c r="A217" s="43"/>
    </row>
    <row r="218" spans="1:16" x14ac:dyDescent="0.3">
      <c r="A218" s="11"/>
    </row>
    <row r="219" spans="1:16" x14ac:dyDescent="0.3">
      <c r="A219" s="43"/>
    </row>
    <row r="220" spans="1:16" x14ac:dyDescent="0.3">
      <c r="A220" s="43"/>
    </row>
    <row r="221" spans="1:16" x14ac:dyDescent="0.3">
      <c r="A221" s="11"/>
    </row>
    <row r="222" spans="1:16" x14ac:dyDescent="0.3">
      <c r="A222" s="43"/>
    </row>
    <row r="223" spans="1:16" x14ac:dyDescent="0.3">
      <c r="A223" s="43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22</cp:revision>
  <dcterms:created xsi:type="dcterms:W3CDTF">2020-05-20T17:26:08Z</dcterms:created>
  <dcterms:modified xsi:type="dcterms:W3CDTF">2024-02-12T16:40:59Z</dcterms:modified>
  <dc:language>en-GB</dc:language>
</cp:coreProperties>
</file>