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Accounts\Monday\"/>
    </mc:Choice>
  </mc:AlternateContent>
  <xr:revisionPtr revIDLastSave="0" documentId="8_{8630CA49-218F-4E37-82F1-B7269C8AB55E}" xr6:coauthVersionLast="47" xr6:coauthVersionMax="47" xr10:uidLastSave="{00000000-0000-0000-0000-000000000000}"/>
  <bookViews>
    <workbookView xWindow="-120" yWindow="-120" windowWidth="29040" windowHeight="15720"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 i="3" l="1"/>
  <c r="D101" i="3"/>
  <c r="C101" i="3"/>
  <c r="C99" i="3"/>
  <c r="C98" i="3"/>
  <c r="C65" i="3"/>
  <c r="C64" i="3"/>
  <c r="C63" i="3"/>
  <c r="C62" i="3"/>
  <c r="C57" i="3"/>
  <c r="C56" i="3"/>
  <c r="C55" i="3"/>
  <c r="C54" i="3"/>
  <c r="D54" i="3"/>
  <c r="E45" i="3"/>
  <c r="D45" i="3"/>
  <c r="C45" i="3"/>
  <c r="C46" i="3" s="1"/>
  <c r="E41" i="3"/>
  <c r="D41" i="3"/>
  <c r="C41" i="3"/>
  <c r="E46" i="3" l="1"/>
  <c r="D46" i="3"/>
  <c r="E40" i="3"/>
  <c r="D40" i="3"/>
  <c r="C40" i="3"/>
  <c r="E36" i="3"/>
  <c r="D36" i="3"/>
  <c r="C36" i="3"/>
  <c r="C9" i="3"/>
  <c r="D9" i="3"/>
  <c r="E9" i="3"/>
  <c r="D108" i="1" l="1"/>
  <c r="C108" i="1"/>
  <c r="C94" i="3" s="1"/>
  <c r="B108" i="1"/>
  <c r="C95" i="3" s="1"/>
  <c r="D99" i="1"/>
  <c r="C99" i="1"/>
  <c r="B99" i="1"/>
  <c r="E133" i="3" l="1"/>
  <c r="D133" i="3"/>
  <c r="C92" i="3"/>
  <c r="C93" i="3"/>
  <c r="C133" i="3"/>
  <c r="C129" i="3"/>
  <c r="D68" i="1"/>
  <c r="C68" i="1"/>
  <c r="B68" i="1"/>
  <c r="D61" i="1"/>
  <c r="C61" i="1"/>
  <c r="C82" i="3" s="1"/>
  <c r="B61" i="1"/>
  <c r="C83" i="3" s="1"/>
  <c r="D56" i="1"/>
  <c r="E7" i="3" s="1"/>
  <c r="C56" i="1"/>
  <c r="B56" i="1"/>
  <c r="D47" i="1"/>
  <c r="C47" i="1"/>
  <c r="C76" i="3" s="1"/>
  <c r="B47" i="1"/>
  <c r="D42" i="1"/>
  <c r="C42" i="1"/>
  <c r="B42" i="1"/>
  <c r="D17" i="1"/>
  <c r="C17" i="1"/>
  <c r="B17" i="1"/>
  <c r="C67" i="3" s="1"/>
  <c r="D12" i="1"/>
  <c r="C12" i="1"/>
  <c r="B12" i="1"/>
  <c r="D8" i="1"/>
  <c r="C8" i="1"/>
  <c r="D129" i="3" s="1"/>
  <c r="B8" i="1"/>
  <c r="E3" i="3"/>
  <c r="D3" i="3"/>
  <c r="C3" i="3"/>
  <c r="D33" i="1"/>
  <c r="D73" i="1" s="1"/>
  <c r="C33" i="1"/>
  <c r="C73" i="1" s="1"/>
  <c r="B33" i="1"/>
  <c r="B73" i="1" s="1"/>
  <c r="C43" i="3" l="1"/>
  <c r="C42" i="3" s="1"/>
  <c r="C27" i="3"/>
  <c r="C87" i="3"/>
  <c r="C25" i="3"/>
  <c r="D43" i="3"/>
  <c r="D42" i="3" s="1"/>
  <c r="D27" i="3"/>
  <c r="D25" i="3"/>
  <c r="C86" i="3"/>
  <c r="E43" i="3"/>
  <c r="E42" i="3" s="1"/>
  <c r="E27" i="3"/>
  <c r="E25" i="3"/>
  <c r="C66" i="3"/>
  <c r="E8" i="3"/>
  <c r="C8" i="3"/>
  <c r="C75" i="3"/>
  <c r="D8" i="3"/>
  <c r="C74" i="3"/>
  <c r="C102" i="3"/>
  <c r="C7" i="3"/>
  <c r="C81" i="3"/>
  <c r="C59" i="3"/>
  <c r="C113" i="3"/>
  <c r="C110" i="3"/>
  <c r="G5" i="3"/>
  <c r="C77" i="3"/>
  <c r="C58" i="3"/>
  <c r="D113" i="3"/>
  <c r="D110" i="3"/>
  <c r="E113" i="3"/>
  <c r="E110" i="3"/>
  <c r="D7" i="3"/>
  <c r="C80" i="3"/>
  <c r="D10" i="3"/>
  <c r="D102" i="3"/>
  <c r="E10" i="3"/>
  <c r="E102" i="3"/>
  <c r="E129" i="3"/>
  <c r="C11" i="3"/>
  <c r="C35" i="3"/>
  <c r="D34" i="3"/>
  <c r="D11" i="3"/>
  <c r="D35" i="3"/>
  <c r="C6" i="3"/>
  <c r="C5" i="3"/>
  <c r="C14" i="3"/>
  <c r="C13" i="3" s="1"/>
  <c r="E35" i="3"/>
  <c r="E11" i="3"/>
  <c r="D14" i="3"/>
  <c r="D5" i="3"/>
  <c r="D6" i="3"/>
  <c r="C10" i="3"/>
  <c r="E14" i="3"/>
  <c r="E6" i="3"/>
  <c r="C13" i="1"/>
  <c r="B48" i="1"/>
  <c r="D13" i="1"/>
  <c r="E106" i="3" s="1"/>
  <c r="B62" i="1"/>
  <c r="C85" i="3" s="1"/>
  <c r="C62" i="1"/>
  <c r="C84" i="3" s="1"/>
  <c r="B13" i="1"/>
  <c r="C48" i="1"/>
  <c r="D62" i="1"/>
  <c r="D48" i="1"/>
  <c r="E26" i="3" s="1"/>
  <c r="A47" i="3"/>
  <c r="A49" i="3" s="1"/>
  <c r="A16" i="3"/>
  <c r="A17" i="3" s="1"/>
  <c r="A18" i="3" s="1"/>
  <c r="A20" i="3" s="1"/>
  <c r="A22" i="3" s="1"/>
  <c r="A5" i="3"/>
  <c r="A6" i="3" s="1"/>
  <c r="A7" i="3" s="1"/>
  <c r="A8" i="3" s="1"/>
  <c r="A9" i="3" s="1"/>
  <c r="A10" i="3" s="1"/>
  <c r="A11" i="3" s="1"/>
  <c r="A12" i="3" s="1"/>
  <c r="A13" i="3" s="1"/>
  <c r="C34" i="3" l="1"/>
  <c r="C79" i="3"/>
  <c r="C26" i="3"/>
  <c r="D106" i="3"/>
  <c r="C60" i="3"/>
  <c r="D12" i="3"/>
  <c r="C69" i="1"/>
  <c r="C78" i="3"/>
  <c r="D26" i="3"/>
  <c r="C61" i="3"/>
  <c r="C106" i="3"/>
  <c r="E12" i="3"/>
  <c r="E34" i="3"/>
  <c r="D69" i="1"/>
  <c r="E51" i="3" s="1"/>
  <c r="B69" i="1"/>
  <c r="D18" i="1"/>
  <c r="E17" i="3"/>
  <c r="C17" i="3"/>
  <c r="B18" i="1"/>
  <c r="D13" i="3"/>
  <c r="C12" i="3"/>
  <c r="C18" i="1"/>
  <c r="D17" i="3"/>
  <c r="E13" i="3"/>
  <c r="A24" i="3"/>
  <c r="A25" i="3" s="1"/>
  <c r="A26" i="3" s="1"/>
  <c r="A27" i="3" s="1"/>
  <c r="A28" i="3" s="1"/>
  <c r="A29" i="3" s="1"/>
  <c r="A30" i="3" s="1"/>
  <c r="D117" i="3" l="1"/>
  <c r="C68" i="3"/>
  <c r="D48" i="3"/>
  <c r="C69" i="3"/>
  <c r="C48" i="3"/>
  <c r="C117" i="3"/>
  <c r="D51" i="3"/>
  <c r="C88" i="3"/>
  <c r="E117" i="3"/>
  <c r="E48" i="3"/>
  <c r="E28" i="3"/>
  <c r="C89" i="3"/>
  <c r="C28" i="3"/>
  <c r="C21" i="3"/>
  <c r="C18" i="3"/>
  <c r="C19" i="3"/>
  <c r="C50" i="3" s="1"/>
  <c r="D20" i="1"/>
  <c r="E18" i="3"/>
  <c r="E19" i="3"/>
  <c r="E50" i="3" s="1"/>
  <c r="E21" i="3"/>
  <c r="C20" i="1"/>
  <c r="D18" i="3"/>
  <c r="D19" i="3"/>
  <c r="D50" i="3" s="1"/>
  <c r="D28" i="3"/>
  <c r="D21" i="3"/>
  <c r="B20" i="1"/>
  <c r="A33" i="3"/>
  <c r="A34" i="3" s="1"/>
  <c r="A35" i="3" s="1"/>
  <c r="A36" i="3" s="1"/>
  <c r="A37" i="3" s="1"/>
  <c r="D22" i="1" l="1"/>
  <c r="E121" i="3" s="1"/>
  <c r="E29" i="3"/>
  <c r="E125" i="3"/>
  <c r="C22" i="1"/>
  <c r="D47" i="3" s="1"/>
  <c r="D29" i="3"/>
  <c r="C70" i="3"/>
  <c r="D125" i="3"/>
  <c r="B22" i="1"/>
  <c r="B76" i="1" s="1"/>
  <c r="B91" i="1" s="1"/>
  <c r="C29" i="3"/>
  <c r="C71" i="3"/>
  <c r="C125" i="3"/>
  <c r="C76" i="1"/>
  <c r="C91" i="1" s="1"/>
  <c r="D49" i="3"/>
  <c r="D44" i="3"/>
  <c r="E20" i="3"/>
  <c r="D76" i="1"/>
  <c r="D91" i="1" s="1"/>
  <c r="E49" i="3"/>
  <c r="E22" i="3"/>
  <c r="C20" i="3"/>
  <c r="A39" i="3"/>
  <c r="A40" i="3" s="1"/>
  <c r="A41" i="3" s="1"/>
  <c r="A42" i="3" s="1"/>
  <c r="A43" i="3" s="1"/>
  <c r="A44" i="3" s="1"/>
  <c r="A46" i="3" s="1"/>
  <c r="A48" i="3" s="1"/>
  <c r="A50" i="3" s="1"/>
  <c r="D20" i="3"/>
  <c r="B109" i="1" l="1"/>
  <c r="C91" i="3"/>
  <c r="C31" i="3"/>
  <c r="C30" i="3" s="1"/>
  <c r="C49" i="3"/>
  <c r="C109" i="1"/>
  <c r="C90" i="3"/>
  <c r="D31" i="3"/>
  <c r="D30" i="3" s="1"/>
  <c r="C22" i="3"/>
  <c r="C47" i="3"/>
  <c r="C37" i="3"/>
  <c r="C44" i="3"/>
  <c r="E37" i="3"/>
  <c r="D121" i="3"/>
  <c r="C72" i="3"/>
  <c r="C73" i="3"/>
  <c r="C121" i="3"/>
  <c r="E44" i="3"/>
  <c r="D22" i="3"/>
  <c r="E47" i="3"/>
  <c r="D37" i="3"/>
  <c r="D109" i="1"/>
  <c r="E31" i="3"/>
  <c r="E30" i="3" s="1"/>
  <c r="C96" i="3" l="1"/>
  <c r="C97" i="3"/>
</calcChain>
</file>

<file path=xl/sharedStrings.xml><?xml version="1.0" encoding="utf-8"?>
<sst xmlns="http://schemas.openxmlformats.org/spreadsheetml/2006/main" count="286" uniqueCount="262">
  <si>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</si>
  <si>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</si>
  <si>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</si>
  <si>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</si>
  <si>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</si>
  <si>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</si>
  <si>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</si>
  <si>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</si>
  <si>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</si>
  <si>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</si>
  <si>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</si>
  <si>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</si>
  <si>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</si>
  <si>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</si>
  <si>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</si>
  <si>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</si>
  <si>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</si>
  <si>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</si>
  <si>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</si>
  <si>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</si>
  <si>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</si>
  <si>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</si>
  <si>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</si>
  <si>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</si>
  <si>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</si>
  <si>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</si>
  <si>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</si>
  <si>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</si>
  <si>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</si>
  <si>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</si>
  <si>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</si>
  <si>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</si>
  <si>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</si>
  <si>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</si>
  <si>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</si>
  <si>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</si>
  <si>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</si>
  <si>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</si>
  <si>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</si>
  <si>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</si>
  <si>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</si>
  <si>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</si>
  <si>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</si>
  <si>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</si>
  <si>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</si>
  <si>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</si>
  <si>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</si>
  <si>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</si>
  <si>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</si>
  <si>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</si>
  <si>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</si>
  <si>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</si>
  <si>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</si>
  <si>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</si>
  <si>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</si>
  <si>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</si>
  <si>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</si>
  <si>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</si>
  <si>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</si>
  <si>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</si>
  <si>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</si>
  <si>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</si>
  <si>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</si>
  <si>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</si>
  <si>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</si>
  <si>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</si>
  <si>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</si>
  <si>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</si>
  <si>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</si>
  <si>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</si>
  <si>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</si>
  <si>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</si>
  <si>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</si>
  <si>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</si>
  <si>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</si>
  <si>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</si>
  <si>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</si>
  <si>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</si>
  <si>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</si>
  <si>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</si>
  <si>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</si>
  <si>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</si>
  <si>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</si>
  <si>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</si>
  <si>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</si>
  <si>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</si>
  <si>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</si>
  <si>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</si>
  <si>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</si>
  <si>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</si>
  <si>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</si>
  <si>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</si>
  <si>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</si>
  <si>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</si>
  <si>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</si>
  <si>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</si>
  <si>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</si>
  <si>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</si>
  <si>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</si>
  <si>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</si>
  <si>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</si>
  <si>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</si>
  <si>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</si>
  <si>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</si>
  <si>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</si>
  <si>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</si>
  <si>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</si>
  <si>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</si>
  <si>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</si>
  <si>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</si>
  <si>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</si>
  <si>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</si>
  <si>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</si>
  <si>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</si>
  <si>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</si>
  <si>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</si>
  <si>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</si>
  <si>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</si>
  <si>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</si>
  <si>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</si>
  <si>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</si>
  <si>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</si>
  <si>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</si>
  <si>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</si>
  <si>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</si>
  <si>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</si>
  <si>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</si>
  <si>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</si>
  <si>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</si>
  <si>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</si>
  <si>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</si>
  <si>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</si>
  <si>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</si>
  <si>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</si>
  <si>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</si>
  <si>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</si>
  <si>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</si>
  <si>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</si>
  <si>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</si>
  <si>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</si>
  <si>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</si>
  <si>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</si>
  <si>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</si>
  <si>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</si>
  <si>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</si>
  <si>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</si>
  <si>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</si>
  <si>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</si>
  <si>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</si>
  <si>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Defensive Interval (Days)</t>
  </si>
  <si>
    <t>for inventory days I didn’t include services in my cogs calculation as I assumed it would skew results</t>
  </si>
  <si>
    <t>used formula fcfe= net income- capex-working capital-Net borrowing and took capex value as negative</t>
  </si>
  <si>
    <t>Product Sales growth FY20-21=34.7%</t>
  </si>
  <si>
    <t>Product Sales growth FY21-22=6.32%</t>
  </si>
  <si>
    <t>Services Sales growth FY20-21= 27.26%</t>
  </si>
  <si>
    <t>Services Sales growth FY22-22= 14.18%</t>
  </si>
  <si>
    <t>Net sales growth FY20-21=33.2%</t>
  </si>
  <si>
    <t>Net sales growth FY21-22=7.79%</t>
  </si>
  <si>
    <t>Gross profit growth FY20-21=45.6%</t>
  </si>
  <si>
    <t>Gross profit growth FY21-22=11.74%</t>
  </si>
  <si>
    <t>R&amp;D Operating expenses growth FY20-21=16.86%</t>
  </si>
  <si>
    <t>R&amp;D Operating expenses growth FY21-22=19.79%</t>
  </si>
  <si>
    <t>SGA operating expenses growth FY20-21=10.33%</t>
  </si>
  <si>
    <t>Total operating expenses growth FY20-21=13.5%</t>
  </si>
  <si>
    <t>Total operating expenses growth FY21-22=16.99%</t>
  </si>
  <si>
    <t>Total operating income growth FY20-21=64.36%</t>
  </si>
  <si>
    <t>Total operating income growth FY21-22=9.63%</t>
  </si>
  <si>
    <t>income before provision  for taxes FY20-21 =62.77%</t>
  </si>
  <si>
    <t>income before provision  for income taxes FY21-22 =9.06%</t>
  </si>
  <si>
    <t>Net income growth FY20-21=64.92%</t>
  </si>
  <si>
    <t>Net income growth FY21-22=5.41%</t>
  </si>
  <si>
    <t>Current assets growth FY20-21= -6.18%</t>
  </si>
  <si>
    <t>Current assets growth FY21-22=0.42%</t>
  </si>
  <si>
    <t>Non current asset growth FY20-21=19.98%</t>
  </si>
  <si>
    <t>Non current asset growth FY21-22=0.55%</t>
  </si>
  <si>
    <t>Total Asset growth FY20-21=8.37%</t>
  </si>
  <si>
    <t>Total Asset growth FY21-22=0.5%</t>
  </si>
  <si>
    <t>Total current liabilities growth FY20-21=19.06%</t>
  </si>
  <si>
    <t>Total current liabilities growth FY21-22=22.71%</t>
  </si>
  <si>
    <t>Total non current Liabilities growth FY20-21=6.06%</t>
  </si>
  <si>
    <t>Total non current Liabilities growth FY21-22=-8.82%</t>
  </si>
  <si>
    <t>Total liabilities growth fy20-21=11.36%</t>
  </si>
  <si>
    <t>Total liabilities growth fy21-22=4.92%</t>
  </si>
  <si>
    <t>Totsl shareholder equity growth FY21-22= -19.68%</t>
  </si>
  <si>
    <t>Totsl shareholder equity growth FY20-21= -3.44%</t>
  </si>
  <si>
    <t>Total liabilities &amp; shareholder equity growth FY20-21=8.37%</t>
  </si>
  <si>
    <t>Total liabilities &amp; shareholder equity growth FY21-22=0.499%</t>
  </si>
  <si>
    <t>Cash generated by operating activities growth FY20-21=28.96%</t>
  </si>
  <si>
    <t>Cash generated by operating activities growth FY21-22=17.41%</t>
  </si>
  <si>
    <t>Cash used in financing activities Growth FY20-21=7.52%</t>
  </si>
  <si>
    <t>Cash used in investing activities Growth FY20-21=239%</t>
  </si>
  <si>
    <t>Cash used in investing activities Growth FY21-22=53.69%</t>
  </si>
  <si>
    <t>Cash used in financing activities Growth FY21-22=18.63%</t>
  </si>
  <si>
    <t>Decreasse in Cash/Cash equivalents Growth rate FY20-21=-63.01%</t>
  </si>
  <si>
    <t>Decreasse in Cash/Cash equivalents Growth rate FY21-22=183.01%</t>
  </si>
  <si>
    <t>Cash and cash equivalents growth rate FY20-21=-9.70%</t>
  </si>
  <si>
    <t>Cash and cash equivalents growth rate FY21-22=--30.48%</t>
  </si>
  <si>
    <t>Total current assets/Total current Liabilities</t>
  </si>
  <si>
    <t>Current assets/daily operating expense     Daily operating expense was operating expense/365</t>
  </si>
  <si>
    <t>(Average inventory/Cost of goods )*365</t>
  </si>
  <si>
    <t>(Accounts payable*365)/cost of sales</t>
  </si>
  <si>
    <t>(Accounts receivable * 365)/sale</t>
  </si>
  <si>
    <t>inventory days+ Receivable days - payable days</t>
  </si>
  <si>
    <t>(working capital/net sales)*100</t>
  </si>
  <si>
    <t>Current assets-Current liabilities</t>
  </si>
  <si>
    <t>((Revenue- COGS)/Revenue)*100</t>
  </si>
  <si>
    <t>(Ebitda/revenue)*100</t>
  </si>
  <si>
    <t>Operating income+(depriciation+amortisation)</t>
  </si>
  <si>
    <t>(Operating income/revenue)*100</t>
  </si>
  <si>
    <t>operating income</t>
  </si>
  <si>
    <t>(net income/revenue)*100</t>
  </si>
  <si>
    <t>Total debt/Total equity</t>
  </si>
  <si>
    <t xml:space="preserve">Long term debt/(Long term debt +shareholder equity) may need some help understanding what is considered long term debt </t>
  </si>
  <si>
    <t>operating income/Interest expense</t>
  </si>
  <si>
    <t>FCF/number of outstanding common shares</t>
  </si>
  <si>
    <t>Net sales/total assets</t>
  </si>
  <si>
    <t>Net sales/Fixed assets</t>
  </si>
  <si>
    <t>market share price/earnings per share</t>
  </si>
  <si>
    <t>market share price/book value per share</t>
  </si>
  <si>
    <t>(shareholder equity-prefered equity)/common shares</t>
  </si>
  <si>
    <t>I am aware this figure is most likely incorrect making the one above it incorrect too</t>
  </si>
  <si>
    <t xml:space="preserve">Dividends/net income </t>
  </si>
  <si>
    <t>dividends/ share price</t>
  </si>
  <si>
    <t>dividends per share/share price</t>
  </si>
  <si>
    <t>net income/average total equity</t>
  </si>
  <si>
    <t>net income/average total assets</t>
  </si>
  <si>
    <t>operating income/ capital employed</t>
  </si>
  <si>
    <t>equity value+debt-cash</t>
  </si>
  <si>
    <t>Enterprise value/EBITDA</t>
  </si>
  <si>
    <t>(Current assets - Inventories)/Current liabilities</t>
  </si>
  <si>
    <t>(Cash and cash equivalents+marketable securities)/Total current liabilities</t>
  </si>
  <si>
    <t xml:space="preserve">very inflated please check </t>
  </si>
  <si>
    <t>Net income/average total assets</t>
  </si>
  <si>
    <t>COGS/Average inventory</t>
  </si>
  <si>
    <t>Feedback</t>
  </si>
  <si>
    <t>Current Assets / Daily Operational Expenses where, Daily Operational Expenses = Annual Operating Expenses - Noncash Charges i.e. Depreciation &amp; Amortization</t>
  </si>
  <si>
    <t>Term debt (under long term liabilities)/Total shareholder equity</t>
  </si>
  <si>
    <t>Include only long term debt other items are not considered long term debt, rather they are liabilities</t>
  </si>
  <si>
    <t>For debt link only long term debt other items are not considered long term debt, rather they are liabilities</t>
  </si>
  <si>
    <t>Net Operating Income/ (Interest + Debt repayment)</t>
  </si>
  <si>
    <t>Cash from operations - Capex + Net debt issued</t>
  </si>
  <si>
    <t>Note that the three statements are in millions and share count is in absolute number, therefore divide the share count by 1000 in brackets</t>
  </si>
  <si>
    <t>Link diluted EPS</t>
  </si>
  <si>
    <t>Remove 10000 multiplication.
Share count should be linked to diluted number of share and note that the three statements are in millions and share count is in absolute number, therefore divide the share count by 1000 in brackets</t>
  </si>
  <si>
    <t>EBIT / (Term debt + Shareholder equity)</t>
  </si>
  <si>
    <t>Market Cap (share price * (Diluted number of shares/1000)) + Total Debt - (Cash + Cash Equivalents)</t>
  </si>
  <si>
    <t>Please follow the same formula method for all other growth rates</t>
  </si>
  <si>
    <t>Long term  debt/Total assets</t>
  </si>
  <si>
    <t>net operating income I used income before provision for taxes and I added minus to make the debt repayment figure positive</t>
  </si>
  <si>
    <t>ignoring common shares as it seems they are included in diluted share count</t>
  </si>
  <si>
    <t>How  do I calculate market cap without just googling it?</t>
  </si>
  <si>
    <t>SGA operating expenses growth FY21-22=14.22%</t>
  </si>
  <si>
    <t>Subject matter</t>
  </si>
  <si>
    <t xml:space="preserve">COGS as % of net sales </t>
  </si>
  <si>
    <t xml:space="preserve">Gross Profits as % of net sales </t>
  </si>
  <si>
    <t xml:space="preserve">R&amp;D operating expenses as a % of net sales </t>
  </si>
  <si>
    <t xml:space="preserve">SGA operating expenses as % of net sales </t>
  </si>
  <si>
    <t xml:space="preserve">Operating income as a % of net sales </t>
  </si>
  <si>
    <t>Net profit as a % of net sales</t>
  </si>
  <si>
    <t>income tax rate</t>
  </si>
  <si>
    <t xml:space="preserve">Capex as % of sales </t>
  </si>
  <si>
    <t xml:space="preserve">Capex as % of fixed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</si>
</sst>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
    <numFmt numFmtId="167"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4"/>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5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37">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4" fontId="0" fillId="0" borderId="0" xfId="0" applyNumberFormat="1"/>
    <xf numFmtId="10" fontId="0" fillId="0" borderId="0" xfId="0" applyNumberFormat="1"/>
    <xf numFmtId="2" fontId="0" fillId="5" borderId="0" xfId="0" applyNumberFormat="1" applyFill="1"/>
    <xf numFmtId="0" fontId="2" fillId="0" borderId="0" xfId="0" applyFont="1" applyAlignment="1">
      <alignment horizontal="center"/>
    </xf>
    <xf numFmtId="2" fontId="0" fillId="0" borderId="0" xfId="0" applyNumberFormat="1"/>
    <xf numFmtId="0" fontId="0" fillId="0" borderId="0" xfId="0" applyAlignment="1">
      <alignment wrapText="1"/>
    </xf>
    <xf numFmtId="167" fontId="0" fillId="5" borderId="0" xfId="3" applyNumberFormat="1" applyFont="1" applyFill="1"/>
    <xf numFmtId="0" fontId="8" fillId="2" borderId="0" xfId="0" applyFont="1" applyFill="1" applyAlignment="1">
      <alignment horizontal="center"/>
    </xf>
    <xf numFmtId="0" fontId="0" fillId="5" borderId="0" xfId="0" applyFill="1"/>
    <xf numFmtId="0" fontId="0" fillId="0" borderId="0" xfId="0" quotePrefix="1"/>
    <xf numFmtId="0" fontId="0" fillId="6" borderId="0" xfId="0" applyFill="1"/>
    <xf numFmtId="10" fontId="0" fillId="0" borderId="0" xfId="3" applyNumberFormat="1" applyFont="1" applyFill="1"/>
    <xf numFmtId="0" fontId="2" fillId="0" borderId="0" xfId="0" applyFont="1" applyAlignment="1">
      <alignment horizontal="center"/>
    </xf>
    <xf numFmtId="0" fontId="2" fillId="3"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2" workbookViewId="0">
      <selection activeCell="A22" sqref="A22"/>
    </sheetView>
  </sheetViews>
  <sheetFormatPr defaultColWidth="8.85546875" defaultRowHeight="15" x14ac:dyDescent="0.25"/>
  <cols>
    <col min="1" max="1" width="104.42578125" customWidth="1"/>
  </cols>
  <sheetData>
    <row r="1" spans="1:1" ht="23.25" x14ac:dyDescent="0.35">
      <c r="A1" s="5" t="s">
        <v>87</v>
      </c>
    </row>
    <row r="3" spans="1:1" x14ac:dyDescent="0.25">
      <c r="A3" s="7" t="s">
        <v>140</v>
      </c>
    </row>
    <row r="4" spans="1:1" x14ac:dyDescent="0.25">
      <c r="A4" s="16" t="s">
        <v>88</v>
      </c>
    </row>
    <row r="5" spans="1:1" x14ac:dyDescent="0.25">
      <c r="A5" s="7" t="s">
        <v>97</v>
      </c>
    </row>
    <row r="6" spans="1:1" x14ac:dyDescent="0.25">
      <c r="A6" s="1" t="s">
        <v>147</v>
      </c>
    </row>
    <row r="7" spans="1:1" x14ac:dyDescent="0.25">
      <c r="A7" s="1"/>
    </row>
    <row r="8" spans="1:1" x14ac:dyDescent="0.25">
      <c r="A8" s="17" t="s">
        <v>148</v>
      </c>
    </row>
    <row r="9" spans="1:1" x14ac:dyDescent="0.25">
      <c r="A9" s="1" t="s">
        <v>144</v>
      </c>
    </row>
    <row r="10" spans="1:1" x14ac:dyDescent="0.25">
      <c r="A10" s="1" t="s">
        <v>89</v>
      </c>
    </row>
    <row r="11" spans="1:1" x14ac:dyDescent="0.25">
      <c r="A11" s="1" t="s">
        <v>90</v>
      </c>
    </row>
    <row r="12" spans="1:1" x14ac:dyDescent="0.25">
      <c r="A12" s="1" t="s">
        <v>91</v>
      </c>
    </row>
    <row r="13" spans="1:1" x14ac:dyDescent="0.25">
      <c r="A13" s="1"/>
    </row>
    <row r="14" spans="1:1" x14ac:dyDescent="0.25">
      <c r="A14" s="17" t="s">
        <v>92</v>
      </c>
    </row>
    <row r="15" spans="1:1" x14ac:dyDescent="0.25">
      <c r="A15" s="1" t="s">
        <v>145</v>
      </c>
    </row>
    <row r="16" spans="1:1" x14ac:dyDescent="0.25">
      <c r="A16" s="1" t="s">
        <v>89</v>
      </c>
    </row>
    <row r="17" spans="1:1" x14ac:dyDescent="0.25">
      <c r="A17" s="1" t="s">
        <v>90</v>
      </c>
    </row>
    <row r="18" spans="1:1" x14ac:dyDescent="0.25">
      <c r="A18" s="1" t="s">
        <v>14</v>
      </c>
    </row>
    <row r="19" spans="1:1" x14ac:dyDescent="0.25">
      <c r="A19" s="1" t="s">
        <v>93</v>
      </c>
    </row>
    <row r="20" spans="1:1" x14ac:dyDescent="0.25">
      <c r="A20" s="1"/>
    </row>
    <row r="21" spans="1:1" x14ac:dyDescent="0.25">
      <c r="A21" s="17" t="s">
        <v>98</v>
      </c>
    </row>
    <row r="22" spans="1:1" x14ac:dyDescent="0.25">
      <c r="A22" s="1" t="s">
        <v>94</v>
      </c>
    </row>
    <row r="23" spans="1:1" x14ac:dyDescent="0.25">
      <c r="A23" s="1" t="s">
        <v>95</v>
      </c>
    </row>
    <row r="24" spans="1:1" x14ac:dyDescent="0.25">
      <c r="A24" s="1" t="s">
        <v>96</v>
      </c>
    </row>
    <row r="25" spans="1:1" x14ac:dyDescent="0.25">
      <c r="A25" s="1"/>
    </row>
    <row r="26" spans="1:1" x14ac:dyDescent="0.25">
      <c r="A26" s="17" t="s">
        <v>143</v>
      </c>
    </row>
    <row r="27" spans="1:1" x14ac:dyDescent="0.25">
      <c r="A27" s="16" t="s">
        <v>142</v>
      </c>
    </row>
    <row r="29" spans="1:1" x14ac:dyDescent="0.25">
      <c r="A29" s="7" t="s">
        <v>146</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19" zoomScaleNormal="100" workbookViewId="0">
      <selection activeCell="B28" sqref="B28"/>
    </sheetView>
  </sheetViews>
  <sheetFormatPr defaultColWidth="8.85546875" defaultRowHeight="15" x14ac:dyDescent="0.25"/>
  <cols>
    <col min="1" max="1" width="59" customWidth="1"/>
    <col min="2" max="3" width="11.42578125" bestFit="1" customWidth="1"/>
    <col min="4" max="4" width="11.7109375" bestFit="1" customWidth="1"/>
  </cols>
  <sheetData>
    <row r="1" spans="1:10" ht="60" customHeight="1" x14ac:dyDescent="0.25">
      <c r="A1" s="6" t="s">
        <v>0</v>
      </c>
      <c r="B1" s="4" t="s">
        <v>2</v>
      </c>
      <c r="C1" s="4"/>
      <c r="D1" s="4"/>
      <c r="E1" s="4"/>
      <c r="F1" s="4"/>
      <c r="G1" s="4"/>
      <c r="H1" s="4"/>
      <c r="I1" s="4"/>
      <c r="J1" s="4"/>
    </row>
    <row r="2" spans="1:10" x14ac:dyDescent="0.25">
      <c r="A2" s="36" t="s">
        <v>1</v>
      </c>
      <c r="B2" s="36"/>
      <c r="C2" s="36"/>
      <c r="D2" s="36"/>
    </row>
    <row r="3" spans="1:10" x14ac:dyDescent="0.25">
      <c r="B3" s="35" t="s">
        <v>23</v>
      </c>
      <c r="C3" s="35"/>
      <c r="D3" s="35"/>
    </row>
    <row r="4" spans="1:10" x14ac:dyDescent="0.25">
      <c r="B4" s="7">
        <v>2022</v>
      </c>
      <c r="C4" s="7">
        <v>2021</v>
      </c>
      <c r="D4" s="7">
        <v>2020</v>
      </c>
    </row>
    <row r="5" spans="1:10" x14ac:dyDescent="0.25">
      <c r="A5" t="s">
        <v>3</v>
      </c>
    </row>
    <row r="6" spans="1:10" x14ac:dyDescent="0.25">
      <c r="A6" s="1" t="s">
        <v>4</v>
      </c>
      <c r="B6" s="12">
        <v>316199</v>
      </c>
      <c r="C6" s="12">
        <v>297392</v>
      </c>
      <c r="D6" s="12">
        <v>220747</v>
      </c>
    </row>
    <row r="7" spans="1:10" x14ac:dyDescent="0.25">
      <c r="A7" s="1" t="s">
        <v>5</v>
      </c>
      <c r="B7" s="12">
        <v>78129</v>
      </c>
      <c r="C7" s="12">
        <v>68425</v>
      </c>
      <c r="D7" s="12">
        <v>53768</v>
      </c>
    </row>
    <row r="8" spans="1:10" x14ac:dyDescent="0.25">
      <c r="A8" s="8" t="s">
        <v>6</v>
      </c>
      <c r="B8" s="13">
        <f>+B6+B7</f>
        <v>394328</v>
      </c>
      <c r="C8" s="13">
        <f t="shared" ref="C8:D8" si="0">+C6+C7</f>
        <v>365817</v>
      </c>
      <c r="D8" s="13">
        <f t="shared" si="0"/>
        <v>274515</v>
      </c>
    </row>
    <row r="9" spans="1:10" x14ac:dyDescent="0.25">
      <c r="A9" t="s">
        <v>7</v>
      </c>
      <c r="B9" s="12"/>
      <c r="C9" s="12"/>
      <c r="D9" s="12"/>
    </row>
    <row r="10" spans="1:10" x14ac:dyDescent="0.25">
      <c r="A10" s="1" t="s">
        <v>4</v>
      </c>
      <c r="B10" s="12">
        <v>201471</v>
      </c>
      <c r="C10" s="12">
        <v>192266</v>
      </c>
      <c r="D10" s="12">
        <v>151286</v>
      </c>
    </row>
    <row r="11" spans="1:10" x14ac:dyDescent="0.25">
      <c r="A11" s="1" t="s">
        <v>5</v>
      </c>
      <c r="B11" s="12">
        <v>22075</v>
      </c>
      <c r="C11" s="12">
        <v>20715</v>
      </c>
      <c r="D11" s="12">
        <v>18273</v>
      </c>
    </row>
    <row r="12" spans="1:10" x14ac:dyDescent="0.25">
      <c r="A12" s="8" t="s">
        <v>8</v>
      </c>
      <c r="B12" s="13">
        <f>+B10+B11</f>
        <v>223546</v>
      </c>
      <c r="C12" s="13">
        <f t="shared" ref="C12:D12" si="1">+C10+C11</f>
        <v>212981</v>
      </c>
      <c r="D12" s="13">
        <f t="shared" si="1"/>
        <v>169559</v>
      </c>
    </row>
    <row r="13" spans="1:10" x14ac:dyDescent="0.25">
      <c r="A13" s="8" t="s">
        <v>9</v>
      </c>
      <c r="B13" s="13">
        <f>+B8-B12</f>
        <v>170782</v>
      </c>
      <c r="C13" s="13">
        <f t="shared" ref="C13:D13" si="2">+C8-C12</f>
        <v>152836</v>
      </c>
      <c r="D13" s="13">
        <f t="shared" si="2"/>
        <v>104956</v>
      </c>
    </row>
    <row r="14" spans="1:10" x14ac:dyDescent="0.25">
      <c r="A14" t="s">
        <v>10</v>
      </c>
      <c r="B14" s="12"/>
      <c r="C14" s="12"/>
      <c r="D14" s="12"/>
    </row>
    <row r="15" spans="1:10" x14ac:dyDescent="0.25">
      <c r="A15" s="1" t="s">
        <v>11</v>
      </c>
      <c r="B15" s="12">
        <v>26251</v>
      </c>
      <c r="C15" s="12">
        <v>21914</v>
      </c>
      <c r="D15" s="12">
        <v>18752</v>
      </c>
    </row>
    <row r="16" spans="1:10" x14ac:dyDescent="0.25">
      <c r="A16" s="1" t="s">
        <v>12</v>
      </c>
      <c r="B16" s="12">
        <v>25094</v>
      </c>
      <c r="C16" s="12">
        <v>21973</v>
      </c>
      <c r="D16" s="12">
        <v>19916</v>
      </c>
    </row>
    <row r="17" spans="1:4" x14ac:dyDescent="0.25">
      <c r="A17" s="8" t="s">
        <v>13</v>
      </c>
      <c r="B17" s="13">
        <f>+B15+B16</f>
        <v>51345</v>
      </c>
      <c r="C17" s="13">
        <f t="shared" ref="C17" si="3">+C15+C16</f>
        <v>43887</v>
      </c>
      <c r="D17" s="13">
        <f t="shared" ref="D17" si="4">+D15+D16</f>
        <v>38668</v>
      </c>
    </row>
    <row r="18" spans="1:4" s="7" customFormat="1" x14ac:dyDescent="0.25">
      <c r="A18" s="8" t="s">
        <v>14</v>
      </c>
      <c r="B18" s="13">
        <f>+B13-B17</f>
        <v>119437</v>
      </c>
      <c r="C18" s="13">
        <f t="shared" ref="C18:D18" si="5">+C13-C17</f>
        <v>108949</v>
      </c>
      <c r="D18" s="13">
        <f t="shared" si="5"/>
        <v>66288</v>
      </c>
    </row>
    <row r="19" spans="1:4" x14ac:dyDescent="0.25">
      <c r="A19" t="s">
        <v>15</v>
      </c>
      <c r="B19" s="12">
        <v>-334</v>
      </c>
      <c r="C19" s="12">
        <v>258</v>
      </c>
      <c r="D19" s="12">
        <v>803</v>
      </c>
    </row>
    <row r="20" spans="1:4" x14ac:dyDescent="0.25">
      <c r="A20" s="8" t="s">
        <v>16</v>
      </c>
      <c r="B20" s="13">
        <f>+B18+B19</f>
        <v>119103</v>
      </c>
      <c r="C20" s="13">
        <f t="shared" ref="C20:D20" si="6">+C18+C19</f>
        <v>109207</v>
      </c>
      <c r="D20" s="13">
        <f t="shared" si="6"/>
        <v>67091</v>
      </c>
    </row>
    <row r="21" spans="1:4" x14ac:dyDescent="0.25">
      <c r="A21" t="s">
        <v>17</v>
      </c>
      <c r="B21" s="12">
        <v>19300</v>
      </c>
      <c r="C21" s="12">
        <v>14527</v>
      </c>
      <c r="D21" s="12">
        <v>9680</v>
      </c>
    </row>
    <row r="22" spans="1:4" ht="15.75" thickBot="1" x14ac:dyDescent="0.3">
      <c r="A22" s="9" t="s">
        <v>18</v>
      </c>
      <c r="B22" s="14">
        <f>+B20-B21</f>
        <v>99803</v>
      </c>
      <c r="C22" s="14">
        <f t="shared" ref="C22:D22" si="7">+C20-C21</f>
        <v>94680</v>
      </c>
      <c r="D22" s="14">
        <f t="shared" si="7"/>
        <v>57411</v>
      </c>
    </row>
    <row r="23" spans="1:4" ht="15.75" thickTop="1" x14ac:dyDescent="0.25">
      <c r="A23" t="s">
        <v>19</v>
      </c>
    </row>
    <row r="24" spans="1:4" x14ac:dyDescent="0.25">
      <c r="A24" s="1" t="s">
        <v>20</v>
      </c>
      <c r="B24" s="10">
        <v>6.15</v>
      </c>
      <c r="C24" s="10">
        <v>5.67</v>
      </c>
      <c r="D24" s="10">
        <v>3.31</v>
      </c>
    </row>
    <row r="25" spans="1:4" x14ac:dyDescent="0.25">
      <c r="A25" s="1" t="s">
        <v>21</v>
      </c>
      <c r="B25" s="10">
        <v>6.11</v>
      </c>
      <c r="C25" s="10">
        <v>5.61</v>
      </c>
      <c r="D25" s="10">
        <v>3.28</v>
      </c>
    </row>
    <row r="26" spans="1:4" x14ac:dyDescent="0.25">
      <c r="A26" t="s">
        <v>22</v>
      </c>
    </row>
    <row r="27" spans="1:4" x14ac:dyDescent="0.25">
      <c r="A27" s="1" t="s">
        <v>20</v>
      </c>
      <c r="B27" s="2">
        <v>16215963</v>
      </c>
      <c r="C27" s="2">
        <v>16701272</v>
      </c>
      <c r="D27" s="2">
        <v>17352119</v>
      </c>
    </row>
    <row r="28" spans="1:4" x14ac:dyDescent="0.25">
      <c r="A28" s="1" t="s">
        <v>21</v>
      </c>
      <c r="B28" s="2">
        <v>16325819</v>
      </c>
      <c r="C28" s="2">
        <v>16864919</v>
      </c>
      <c r="D28" s="2">
        <v>17528214</v>
      </c>
    </row>
    <row r="31" spans="1:4" x14ac:dyDescent="0.25">
      <c r="A31" s="36" t="s">
        <v>24</v>
      </c>
      <c r="B31" s="36"/>
      <c r="C31" s="36"/>
      <c r="D31" s="36"/>
    </row>
    <row r="32" spans="1:4" x14ac:dyDescent="0.25">
      <c r="B32" s="35" t="s">
        <v>141</v>
      </c>
      <c r="C32" s="35"/>
      <c r="D32" s="35"/>
    </row>
    <row r="33" spans="1:4" x14ac:dyDescent="0.25">
      <c r="B33" s="7">
        <f>+B4</f>
        <v>2022</v>
      </c>
      <c r="C33" s="7">
        <f t="shared" ref="C33:D33" si="8">+C4</f>
        <v>2021</v>
      </c>
      <c r="D33" s="7">
        <f t="shared" si="8"/>
        <v>2020</v>
      </c>
    </row>
    <row r="35" spans="1:4" x14ac:dyDescent="0.25">
      <c r="A35" t="s">
        <v>25</v>
      </c>
    </row>
    <row r="36" spans="1:4" x14ac:dyDescent="0.25">
      <c r="A36" s="1" t="s">
        <v>26</v>
      </c>
      <c r="B36" s="12">
        <v>23646</v>
      </c>
      <c r="C36" s="12">
        <v>34940</v>
      </c>
      <c r="D36" s="12">
        <v>38016</v>
      </c>
    </row>
    <row r="37" spans="1:4" x14ac:dyDescent="0.25">
      <c r="A37" s="1" t="s">
        <v>27</v>
      </c>
      <c r="B37" s="12">
        <v>24658</v>
      </c>
      <c r="C37" s="12">
        <v>27699</v>
      </c>
      <c r="D37" s="12">
        <v>52927</v>
      </c>
    </row>
    <row r="38" spans="1:4" x14ac:dyDescent="0.25">
      <c r="A38" s="1" t="s">
        <v>28</v>
      </c>
      <c r="B38" s="12">
        <v>28184</v>
      </c>
      <c r="C38" s="12">
        <v>26278</v>
      </c>
      <c r="D38" s="12">
        <v>16120</v>
      </c>
    </row>
    <row r="39" spans="1:4" x14ac:dyDescent="0.25">
      <c r="A39" s="1" t="s">
        <v>29</v>
      </c>
      <c r="B39" s="12">
        <v>4946</v>
      </c>
      <c r="C39" s="12">
        <v>6580</v>
      </c>
      <c r="D39" s="12">
        <v>4061</v>
      </c>
    </row>
    <row r="40" spans="1:4" x14ac:dyDescent="0.25">
      <c r="A40" s="1" t="s">
        <v>47</v>
      </c>
      <c r="B40" s="12">
        <v>32748</v>
      </c>
      <c r="C40" s="12">
        <v>25228</v>
      </c>
      <c r="D40" s="12">
        <v>21325</v>
      </c>
    </row>
    <row r="41" spans="1:4" x14ac:dyDescent="0.25">
      <c r="A41" s="1" t="s">
        <v>30</v>
      </c>
      <c r="B41" s="12">
        <v>21223</v>
      </c>
      <c r="C41" s="12">
        <v>14111</v>
      </c>
      <c r="D41" s="12">
        <v>11264</v>
      </c>
    </row>
    <row r="42" spans="1:4" x14ac:dyDescent="0.25">
      <c r="A42" s="8" t="s">
        <v>31</v>
      </c>
      <c r="B42" s="13">
        <f>+SUM(B36:B41)</f>
        <v>135405</v>
      </c>
      <c r="C42" s="13">
        <f t="shared" ref="C42:D42" si="9">+SUM(C36:C41)</f>
        <v>134836</v>
      </c>
      <c r="D42" s="13">
        <f t="shared" si="9"/>
        <v>143713</v>
      </c>
    </row>
    <row r="43" spans="1:4" x14ac:dyDescent="0.25">
      <c r="A43" t="s">
        <v>48</v>
      </c>
      <c r="B43" s="12"/>
      <c r="C43" s="12"/>
      <c r="D43" s="12"/>
    </row>
    <row r="44" spans="1:4" x14ac:dyDescent="0.25">
      <c r="A44" s="1" t="s">
        <v>27</v>
      </c>
      <c r="B44" s="12">
        <v>120805</v>
      </c>
      <c r="C44" s="12">
        <v>127877</v>
      </c>
      <c r="D44" s="12">
        <v>100887</v>
      </c>
    </row>
    <row r="45" spans="1:4" x14ac:dyDescent="0.25">
      <c r="A45" s="1" t="s">
        <v>32</v>
      </c>
      <c r="B45" s="12">
        <v>42117</v>
      </c>
      <c r="C45" s="12">
        <v>39440</v>
      </c>
      <c r="D45" s="12">
        <v>36766</v>
      </c>
    </row>
    <row r="46" spans="1:4" x14ac:dyDescent="0.25">
      <c r="A46" s="1" t="s">
        <v>49</v>
      </c>
      <c r="B46" s="12">
        <v>54428</v>
      </c>
      <c r="C46" s="12">
        <v>48849</v>
      </c>
      <c r="D46" s="12">
        <v>42522</v>
      </c>
    </row>
    <row r="47" spans="1:4" x14ac:dyDescent="0.25">
      <c r="A47" s="8" t="s">
        <v>50</v>
      </c>
      <c r="B47" s="13">
        <f>+SUM(B44:B46)</f>
        <v>217350</v>
      </c>
      <c r="C47" s="13">
        <f t="shared" ref="C47:D47" si="10">+SUM(C44:C46)</f>
        <v>216166</v>
      </c>
      <c r="D47" s="13">
        <f t="shared" si="10"/>
        <v>180175</v>
      </c>
    </row>
    <row r="48" spans="1:4" ht="15.75" thickBot="1" x14ac:dyDescent="0.3">
      <c r="A48" s="9" t="s">
        <v>33</v>
      </c>
      <c r="B48" s="14">
        <f>+B42+B47</f>
        <v>352755</v>
      </c>
      <c r="C48" s="14">
        <f t="shared" ref="C48:D48" si="11">+C42+C47</f>
        <v>351002</v>
      </c>
      <c r="D48" s="14">
        <f t="shared" si="11"/>
        <v>323888</v>
      </c>
    </row>
    <row r="49" spans="1:4" ht="15.75" thickTop="1" x14ac:dyDescent="0.25"/>
    <row r="50" spans="1:4" x14ac:dyDescent="0.25">
      <c r="A50" t="s">
        <v>34</v>
      </c>
    </row>
    <row r="51" spans="1:4" x14ac:dyDescent="0.25">
      <c r="A51" s="1" t="s">
        <v>35</v>
      </c>
      <c r="B51" s="12">
        <v>64115</v>
      </c>
      <c r="C51" s="12">
        <v>54763</v>
      </c>
      <c r="D51" s="12">
        <v>42296</v>
      </c>
    </row>
    <row r="52" spans="1:4" x14ac:dyDescent="0.25">
      <c r="A52" s="1" t="s">
        <v>36</v>
      </c>
      <c r="B52" s="12">
        <v>60845</v>
      </c>
      <c r="C52" s="12">
        <v>47493</v>
      </c>
      <c r="D52" s="12">
        <v>42684</v>
      </c>
    </row>
    <row r="53" spans="1:4" x14ac:dyDescent="0.25">
      <c r="A53" s="1" t="s">
        <v>37</v>
      </c>
      <c r="B53" s="12">
        <v>7912</v>
      </c>
      <c r="C53" s="12">
        <v>7612</v>
      </c>
      <c r="D53" s="12">
        <v>6643</v>
      </c>
    </row>
    <row r="54" spans="1:4" x14ac:dyDescent="0.25">
      <c r="A54" s="1" t="s">
        <v>38</v>
      </c>
      <c r="B54" s="12">
        <v>9982</v>
      </c>
      <c r="C54" s="12">
        <v>6000</v>
      </c>
      <c r="D54" s="12">
        <v>4996</v>
      </c>
    </row>
    <row r="55" spans="1:4" x14ac:dyDescent="0.25">
      <c r="A55" s="1" t="s">
        <v>39</v>
      </c>
      <c r="B55" s="12">
        <v>11128</v>
      </c>
      <c r="C55" s="12">
        <v>9613</v>
      </c>
      <c r="D55" s="12">
        <v>8773</v>
      </c>
    </row>
    <row r="56" spans="1:4" x14ac:dyDescent="0.25">
      <c r="A56" s="8" t="s">
        <v>40</v>
      </c>
      <c r="B56" s="13">
        <f>+SUM(B51:B55)</f>
        <v>153982</v>
      </c>
      <c r="C56" s="13">
        <f t="shared" ref="C56:D56" si="12">+SUM(C51:C55)</f>
        <v>125481</v>
      </c>
      <c r="D56" s="13">
        <f t="shared" si="12"/>
        <v>105392</v>
      </c>
    </row>
    <row r="57" spans="1:4" x14ac:dyDescent="0.25">
      <c r="A57" t="s">
        <v>51</v>
      </c>
      <c r="B57" s="12"/>
      <c r="C57" s="12"/>
      <c r="D57" s="12"/>
    </row>
    <row r="58" spans="1:4" x14ac:dyDescent="0.25">
      <c r="A58" s="1" t="s">
        <v>37</v>
      </c>
      <c r="B58" s="12"/>
      <c r="C58" s="12"/>
      <c r="D58" s="12"/>
    </row>
    <row r="59" spans="1:4" x14ac:dyDescent="0.25">
      <c r="A59" s="1" t="s">
        <v>39</v>
      </c>
      <c r="B59" s="12">
        <v>98959</v>
      </c>
      <c r="C59" s="12">
        <v>109106</v>
      </c>
      <c r="D59" s="12">
        <v>98667</v>
      </c>
    </row>
    <row r="60" spans="1:4" x14ac:dyDescent="0.25">
      <c r="A60" s="1" t="s">
        <v>52</v>
      </c>
      <c r="B60" s="12">
        <v>49142</v>
      </c>
      <c r="C60" s="12">
        <v>53325</v>
      </c>
      <c r="D60" s="12">
        <v>54490</v>
      </c>
    </row>
    <row r="61" spans="1:4" x14ac:dyDescent="0.25">
      <c r="A61" s="22" t="s">
        <v>53</v>
      </c>
      <c r="B61" s="21">
        <f>+B59+B60</f>
        <v>148101</v>
      </c>
      <c r="C61" s="21">
        <f t="shared" ref="C61:D61" si="13">+C59+C60</f>
        <v>162431</v>
      </c>
      <c r="D61" s="21">
        <f t="shared" si="13"/>
        <v>153157</v>
      </c>
    </row>
    <row r="62" spans="1:4" x14ac:dyDescent="0.25">
      <c r="A62" s="8" t="s">
        <v>41</v>
      </c>
      <c r="B62" s="13">
        <f>+B56+B61</f>
        <v>302083</v>
      </c>
      <c r="C62" s="13">
        <f t="shared" ref="C62:D62" si="14">+C56+C61</f>
        <v>287912</v>
      </c>
      <c r="D62" s="13">
        <f t="shared" si="14"/>
        <v>258549</v>
      </c>
    </row>
    <row r="63" spans="1:4" x14ac:dyDescent="0.25">
      <c r="B63" s="12"/>
      <c r="C63" s="12"/>
      <c r="D63" s="12"/>
    </row>
    <row r="64" spans="1:4" x14ac:dyDescent="0.25">
      <c r="A64" t="s">
        <v>42</v>
      </c>
      <c r="B64" s="12"/>
      <c r="C64" s="12"/>
      <c r="D64" s="12"/>
    </row>
    <row r="65" spans="1:4" x14ac:dyDescent="0.25">
      <c r="A65" s="1" t="s">
        <v>54</v>
      </c>
      <c r="B65" s="12">
        <v>64849</v>
      </c>
      <c r="C65" s="12">
        <v>57365</v>
      </c>
      <c r="D65" s="12">
        <v>50779</v>
      </c>
    </row>
    <row r="66" spans="1:4" x14ac:dyDescent="0.25">
      <c r="A66" s="1" t="s">
        <v>43</v>
      </c>
      <c r="B66" s="12">
        <v>-3068</v>
      </c>
      <c r="C66" s="12">
        <v>5562</v>
      </c>
      <c r="D66" s="12">
        <v>14966</v>
      </c>
    </row>
    <row r="67" spans="1:4" x14ac:dyDescent="0.25">
      <c r="A67" s="1" t="s">
        <v>44</v>
      </c>
      <c r="B67" s="12">
        <v>-11109</v>
      </c>
      <c r="C67" s="12">
        <v>163</v>
      </c>
      <c r="D67" s="12">
        <v>-406</v>
      </c>
    </row>
    <row r="68" spans="1:4" x14ac:dyDescent="0.25">
      <c r="A68" s="8" t="s">
        <v>45</v>
      </c>
      <c r="B68" s="13">
        <f>+SUM(B65:B67)</f>
        <v>50672</v>
      </c>
      <c r="C68" s="13">
        <f t="shared" ref="C68:D68" si="15">+SUM(C65:C67)</f>
        <v>63090</v>
      </c>
      <c r="D68" s="13">
        <f t="shared" si="15"/>
        <v>65339</v>
      </c>
    </row>
    <row r="69" spans="1:4" ht="15.75" thickBot="1" x14ac:dyDescent="0.3">
      <c r="A69" s="9" t="s">
        <v>46</v>
      </c>
      <c r="B69" s="14">
        <f>+B68+B62</f>
        <v>352755</v>
      </c>
      <c r="C69" s="14">
        <f t="shared" ref="C69:D69" si="16">+C68+C62</f>
        <v>351002</v>
      </c>
      <c r="D69" s="14">
        <f t="shared" si="16"/>
        <v>323888</v>
      </c>
    </row>
    <row r="70" spans="1:4" ht="15.75" thickTop="1" x14ac:dyDescent="0.25"/>
    <row r="71" spans="1:4" x14ac:dyDescent="0.25">
      <c r="A71" s="36" t="s">
        <v>55</v>
      </c>
      <c r="B71" s="36"/>
      <c r="C71" s="36"/>
      <c r="D71" s="36"/>
    </row>
    <row r="72" spans="1:4" x14ac:dyDescent="0.25">
      <c r="B72" s="35" t="s">
        <v>23</v>
      </c>
      <c r="C72" s="35"/>
      <c r="D72" s="35"/>
    </row>
    <row r="73" spans="1:4" x14ac:dyDescent="0.25">
      <c r="B73" s="7">
        <f>+B33</f>
        <v>2022</v>
      </c>
      <c r="C73" s="7">
        <f t="shared" ref="C73:D73" si="17">+C33</f>
        <v>2021</v>
      </c>
      <c r="D73" s="7">
        <f t="shared" si="17"/>
        <v>2020</v>
      </c>
    </row>
    <row r="75" spans="1:4" x14ac:dyDescent="0.25">
      <c r="A75" s="7" t="s">
        <v>56</v>
      </c>
      <c r="B75" s="15"/>
      <c r="C75" s="15"/>
      <c r="D75" s="15"/>
    </row>
    <row r="76" spans="1:4" x14ac:dyDescent="0.25">
      <c r="A76" t="s">
        <v>57</v>
      </c>
      <c r="B76" s="12">
        <f>+B22</f>
        <v>99803</v>
      </c>
      <c r="C76" s="12">
        <f t="shared" ref="C76:D76" si="18">+C22</f>
        <v>94680</v>
      </c>
      <c r="D76" s="12">
        <f t="shared" si="18"/>
        <v>57411</v>
      </c>
    </row>
    <row r="77" spans="1:4" x14ac:dyDescent="0.25">
      <c r="A77" s="11" t="s">
        <v>18</v>
      </c>
      <c r="B77" s="15"/>
      <c r="C77" s="15"/>
      <c r="D77" s="15"/>
    </row>
    <row r="78" spans="1:4" x14ac:dyDescent="0.25">
      <c r="A78" s="1" t="s">
        <v>58</v>
      </c>
      <c r="B78" s="12"/>
      <c r="C78" s="12"/>
      <c r="D78" s="12"/>
    </row>
    <row r="79" spans="1:4" x14ac:dyDescent="0.25">
      <c r="A79" s="3" t="s">
        <v>59</v>
      </c>
      <c r="B79" s="12">
        <v>11104</v>
      </c>
      <c r="C79" s="12">
        <v>11284</v>
      </c>
      <c r="D79" s="12">
        <v>11056</v>
      </c>
    </row>
    <row r="80" spans="1:4" x14ac:dyDescent="0.25">
      <c r="A80" s="3" t="s">
        <v>83</v>
      </c>
      <c r="B80" s="12">
        <v>9038</v>
      </c>
      <c r="C80" s="12">
        <v>7906</v>
      </c>
      <c r="D80" s="12">
        <v>6829</v>
      </c>
    </row>
    <row r="81" spans="1:4" x14ac:dyDescent="0.25">
      <c r="A81" s="3" t="s">
        <v>60</v>
      </c>
      <c r="B81" s="12">
        <v>895</v>
      </c>
      <c r="C81" s="12">
        <v>-4774</v>
      </c>
      <c r="D81" s="12">
        <v>-215</v>
      </c>
    </row>
    <row r="82" spans="1:4" x14ac:dyDescent="0.25">
      <c r="A82" s="3" t="s">
        <v>61</v>
      </c>
      <c r="B82" s="12">
        <v>111</v>
      </c>
      <c r="C82" s="12">
        <v>-147</v>
      </c>
      <c r="D82" s="12">
        <v>-97</v>
      </c>
    </row>
    <row r="83" spans="1:4" x14ac:dyDescent="0.25">
      <c r="A83" t="s">
        <v>62</v>
      </c>
      <c r="B83" s="12"/>
      <c r="C83" s="12"/>
      <c r="D83" s="12"/>
    </row>
    <row r="84" spans="1:4" x14ac:dyDescent="0.25">
      <c r="A84" s="1" t="s">
        <v>28</v>
      </c>
      <c r="B84" s="12">
        <v>-1823</v>
      </c>
      <c r="C84" s="12">
        <v>-10125</v>
      </c>
      <c r="D84" s="12">
        <v>6917</v>
      </c>
    </row>
    <row r="85" spans="1:4" x14ac:dyDescent="0.25">
      <c r="A85" s="1" t="s">
        <v>29</v>
      </c>
      <c r="B85" s="12">
        <v>1484</v>
      </c>
      <c r="C85" s="12">
        <v>-2642</v>
      </c>
      <c r="D85" s="12">
        <v>-127</v>
      </c>
    </row>
    <row r="86" spans="1:4" x14ac:dyDescent="0.25">
      <c r="A86" s="1" t="s">
        <v>47</v>
      </c>
      <c r="B86" s="12">
        <v>-7520</v>
      </c>
      <c r="C86" s="12">
        <v>-3903</v>
      </c>
      <c r="D86" s="12">
        <v>1553</v>
      </c>
    </row>
    <row r="87" spans="1:4" x14ac:dyDescent="0.25">
      <c r="A87" s="1" t="s">
        <v>84</v>
      </c>
      <c r="B87" s="12">
        <v>-6499</v>
      </c>
      <c r="C87" s="12">
        <v>-8042</v>
      </c>
      <c r="D87" s="12">
        <v>-9588</v>
      </c>
    </row>
    <row r="88" spans="1:4" x14ac:dyDescent="0.25">
      <c r="A88" s="1" t="s">
        <v>35</v>
      </c>
      <c r="B88" s="12">
        <v>9448</v>
      </c>
      <c r="C88" s="12">
        <v>12326</v>
      </c>
      <c r="D88" s="12">
        <v>-4062</v>
      </c>
    </row>
    <row r="89" spans="1:4" x14ac:dyDescent="0.25">
      <c r="A89" s="1" t="s">
        <v>37</v>
      </c>
      <c r="B89" s="12">
        <v>478</v>
      </c>
      <c r="C89" s="12">
        <v>1676</v>
      </c>
      <c r="D89" s="12">
        <v>2081</v>
      </c>
    </row>
    <row r="90" spans="1:4" x14ac:dyDescent="0.25">
      <c r="A90" s="1" t="s">
        <v>85</v>
      </c>
      <c r="B90" s="12">
        <v>5632</v>
      </c>
      <c r="C90" s="12">
        <v>5799</v>
      </c>
      <c r="D90" s="12">
        <v>8916</v>
      </c>
    </row>
    <row r="91" spans="1:4" x14ac:dyDescent="0.25">
      <c r="A91" s="8" t="s">
        <v>63</v>
      </c>
      <c r="B91" s="13">
        <f>+SUM(B76:B90)</f>
        <v>122151</v>
      </c>
      <c r="C91" s="13">
        <f t="shared" ref="C91:D91" si="19">+SUM(C76:C90)</f>
        <v>104038</v>
      </c>
      <c r="D91" s="13">
        <f t="shared" si="19"/>
        <v>80674</v>
      </c>
    </row>
    <row r="92" spans="1:4" x14ac:dyDescent="0.25">
      <c r="A92" s="7" t="s">
        <v>64</v>
      </c>
      <c r="B92" s="12"/>
      <c r="C92" s="12"/>
      <c r="D92" s="12"/>
    </row>
    <row r="93" spans="1:4" x14ac:dyDescent="0.25">
      <c r="A93" s="1" t="s">
        <v>65</v>
      </c>
      <c r="B93" s="12">
        <v>-76923</v>
      </c>
      <c r="C93" s="12">
        <v>-109558</v>
      </c>
      <c r="D93" s="12">
        <v>-114938</v>
      </c>
    </row>
    <row r="94" spans="1:4" x14ac:dyDescent="0.25">
      <c r="A94" s="1" t="s">
        <v>66</v>
      </c>
      <c r="B94" s="12">
        <v>29917</v>
      </c>
      <c r="C94" s="12">
        <v>59023</v>
      </c>
      <c r="D94" s="12">
        <v>69918</v>
      </c>
    </row>
    <row r="95" spans="1:4" x14ac:dyDescent="0.25">
      <c r="A95" s="1" t="s">
        <v>67</v>
      </c>
      <c r="B95" s="12">
        <v>37446</v>
      </c>
      <c r="C95" s="12">
        <v>47460</v>
      </c>
      <c r="D95" s="12">
        <v>50473</v>
      </c>
    </row>
    <row r="96" spans="1:4" x14ac:dyDescent="0.25">
      <c r="A96" s="1" t="s">
        <v>68</v>
      </c>
      <c r="B96" s="12">
        <v>-10708</v>
      </c>
      <c r="C96" s="12">
        <v>-11085</v>
      </c>
      <c r="D96" s="12">
        <v>-7309</v>
      </c>
    </row>
    <row r="97" spans="1:4" x14ac:dyDescent="0.25">
      <c r="A97" s="1" t="s">
        <v>69</v>
      </c>
      <c r="B97" s="12">
        <v>-306</v>
      </c>
      <c r="C97" s="12">
        <v>-33</v>
      </c>
      <c r="D97" s="12">
        <v>-1524</v>
      </c>
    </row>
    <row r="98" spans="1:4" x14ac:dyDescent="0.25">
      <c r="A98" s="1" t="s">
        <v>61</v>
      </c>
      <c r="B98" s="12">
        <v>-1780</v>
      </c>
      <c r="C98" s="12">
        <v>-352</v>
      </c>
      <c r="D98" s="12">
        <v>-909</v>
      </c>
    </row>
    <row r="99" spans="1:4" x14ac:dyDescent="0.25">
      <c r="A99" s="8" t="s">
        <v>70</v>
      </c>
      <c r="B99" s="13">
        <f>+SUM(B93:B98)</f>
        <v>-22354</v>
      </c>
      <c r="C99" s="13">
        <f t="shared" ref="C99:D99" si="20">+SUM(C93:C98)</f>
        <v>-14545</v>
      </c>
      <c r="D99" s="13">
        <f t="shared" si="20"/>
        <v>-4289</v>
      </c>
    </row>
    <row r="100" spans="1:4" x14ac:dyDescent="0.25">
      <c r="A100" s="7" t="s">
        <v>71</v>
      </c>
      <c r="B100" s="12"/>
      <c r="C100" s="12"/>
      <c r="D100" s="12"/>
    </row>
    <row r="101" spans="1:4" x14ac:dyDescent="0.25">
      <c r="A101" s="1" t="s">
        <v>86</v>
      </c>
      <c r="B101" s="12">
        <v>-6223</v>
      </c>
      <c r="C101" s="12">
        <v>-6556</v>
      </c>
      <c r="D101" s="12">
        <v>-3634</v>
      </c>
    </row>
    <row r="102" spans="1:4" x14ac:dyDescent="0.25">
      <c r="A102" s="1" t="s">
        <v>72</v>
      </c>
      <c r="B102" s="12">
        <v>-14841</v>
      </c>
      <c r="C102" s="12">
        <v>-14467</v>
      </c>
      <c r="D102" s="12">
        <v>-14081</v>
      </c>
    </row>
    <row r="103" spans="1:4" x14ac:dyDescent="0.25">
      <c r="A103" s="1" t="s">
        <v>73</v>
      </c>
      <c r="B103" s="12">
        <v>-89402</v>
      </c>
      <c r="C103" s="12">
        <v>-85971</v>
      </c>
      <c r="D103" s="12">
        <v>-72358</v>
      </c>
    </row>
    <row r="104" spans="1:4" x14ac:dyDescent="0.25">
      <c r="A104" s="1" t="s">
        <v>74</v>
      </c>
      <c r="B104" s="12">
        <v>5465</v>
      </c>
      <c r="C104" s="12">
        <v>20393</v>
      </c>
      <c r="D104" s="12">
        <v>16091</v>
      </c>
    </row>
    <row r="105" spans="1:4" x14ac:dyDescent="0.25">
      <c r="A105" s="1" t="s">
        <v>75</v>
      </c>
      <c r="B105" s="12">
        <v>-9543</v>
      </c>
      <c r="C105" s="12">
        <v>-8750</v>
      </c>
      <c r="D105" s="12">
        <v>-12629</v>
      </c>
    </row>
    <row r="106" spans="1:4" x14ac:dyDescent="0.25">
      <c r="A106" s="1" t="s">
        <v>76</v>
      </c>
      <c r="B106" s="12">
        <v>3955</v>
      </c>
      <c r="C106" s="12">
        <v>1022</v>
      </c>
      <c r="D106" s="12">
        <v>-963</v>
      </c>
    </row>
    <row r="107" spans="1:4" x14ac:dyDescent="0.25">
      <c r="A107" s="1" t="s">
        <v>61</v>
      </c>
      <c r="B107" s="12">
        <v>-160</v>
      </c>
      <c r="C107" s="12">
        <v>976</v>
      </c>
      <c r="D107" s="12">
        <v>754</v>
      </c>
    </row>
    <row r="108" spans="1:4" x14ac:dyDescent="0.25">
      <c r="A108" s="8" t="s">
        <v>77</v>
      </c>
      <c r="B108" s="13">
        <f>+SUM(B101:B107)</f>
        <v>-110749</v>
      </c>
      <c r="C108" s="13">
        <f t="shared" ref="C108:D108" si="21">+SUM(C101:C107)</f>
        <v>-93353</v>
      </c>
      <c r="D108" s="13">
        <f t="shared" si="21"/>
        <v>-86820</v>
      </c>
    </row>
    <row r="109" spans="1:4" x14ac:dyDescent="0.25">
      <c r="A109" s="8" t="s">
        <v>78</v>
      </c>
      <c r="B109" s="13">
        <f>+B91+B99+B108</f>
        <v>-10952</v>
      </c>
      <c r="C109" s="13">
        <f t="shared" ref="C109:D109" si="22">+C91+C99+C108</f>
        <v>-3860</v>
      </c>
      <c r="D109" s="13">
        <f t="shared" si="22"/>
        <v>-10435</v>
      </c>
    </row>
    <row r="110" spans="1:4" ht="15.75" thickBot="1" x14ac:dyDescent="0.3">
      <c r="A110" s="9" t="s">
        <v>79</v>
      </c>
      <c r="B110" s="14">
        <v>24977</v>
      </c>
      <c r="C110" s="14">
        <v>35929</v>
      </c>
      <c r="D110" s="14">
        <v>39789</v>
      </c>
    </row>
    <row r="111" spans="1:4" ht="15.75" thickTop="1" x14ac:dyDescent="0.25">
      <c r="B111" s="12"/>
      <c r="C111" s="12"/>
      <c r="D111" s="12"/>
    </row>
    <row r="112" spans="1:4" x14ac:dyDescent="0.25">
      <c r="A112" t="s">
        <v>80</v>
      </c>
      <c r="B112" s="12"/>
      <c r="C112" s="12"/>
      <c r="D112" s="12"/>
    </row>
    <row r="113" spans="1:4" x14ac:dyDescent="0.25">
      <c r="A113" t="s">
        <v>81</v>
      </c>
      <c r="B113" s="12">
        <v>19573</v>
      </c>
      <c r="C113" s="12">
        <v>25385</v>
      </c>
      <c r="D113" s="12">
        <v>9501</v>
      </c>
    </row>
    <row r="114" spans="1:4" x14ac:dyDescent="0.25">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5"/>
  <sheetViews>
    <sheetView tabSelected="1" topLeftCell="A104" workbookViewId="0">
      <selection activeCell="B132" sqref="B132"/>
    </sheetView>
  </sheetViews>
  <sheetFormatPr defaultColWidth="8.85546875" defaultRowHeight="15" x14ac:dyDescent="0.25"/>
  <cols>
    <col min="1" max="1" width="4.7109375" customWidth="1"/>
    <col min="2" max="2" width="44.85546875" customWidth="1"/>
    <col min="3" max="5" width="13.7109375" bestFit="1" customWidth="1"/>
    <col min="6" max="6" width="147.42578125" bestFit="1" customWidth="1"/>
    <col min="9" max="9" width="115.140625" bestFit="1" customWidth="1"/>
  </cols>
  <sheetData>
    <row r="1" spans="1:18" ht="60" customHeight="1" x14ac:dyDescent="0.4">
      <c r="A1" s="6"/>
      <c r="B1" s="20" t="s">
        <v>0</v>
      </c>
      <c r="C1" s="19"/>
      <c r="D1" s="19"/>
      <c r="E1" s="19"/>
      <c r="F1" s="30" t="s">
        <v>234</v>
      </c>
      <c r="G1" s="19"/>
      <c r="H1" s="19"/>
      <c r="I1" s="19"/>
      <c r="J1" s="19"/>
      <c r="K1" s="19"/>
    </row>
    <row r="2" spans="1:18" x14ac:dyDescent="0.25">
      <c r="C2" s="35" t="s">
        <v>23</v>
      </c>
      <c r="D2" s="35"/>
      <c r="E2" s="35"/>
      <c r="F2" s="26"/>
    </row>
    <row r="3" spans="1:18" x14ac:dyDescent="0.25">
      <c r="C3" s="7">
        <f>+'Financial Statements'!B4</f>
        <v>2022</v>
      </c>
      <c r="D3" s="7">
        <f>+'Financial Statements'!C4</f>
        <v>2021</v>
      </c>
      <c r="E3" s="7">
        <f>+'Financial Statements'!D4</f>
        <v>2020</v>
      </c>
      <c r="F3" s="7"/>
    </row>
    <row r="4" spans="1:18" x14ac:dyDescent="0.25">
      <c r="A4" s="18">
        <v>1</v>
      </c>
      <c r="B4" s="7" t="s">
        <v>99</v>
      </c>
    </row>
    <row r="5" spans="1:18" x14ac:dyDescent="0.25">
      <c r="A5" s="18">
        <f>+A4+0.1</f>
        <v>1.1000000000000001</v>
      </c>
      <c r="B5" s="1" t="s">
        <v>100</v>
      </c>
      <c r="C5" s="27">
        <f>'Financial Statements'!B42/'Financial Statements'!B56</f>
        <v>0.87935602862672257</v>
      </c>
      <c r="D5" s="27">
        <f>'Financial Statements'!C42/'Financial Statements'!C56</f>
        <v>1.0745531195957954</v>
      </c>
      <c r="E5" s="27">
        <v>1.3640000000000001</v>
      </c>
      <c r="F5" s="18"/>
      <c r="G5" s="25">
        <f>+'Financial Statements'!B47/'Financial Statements'!B56</f>
        <v>1.4115286202283384</v>
      </c>
      <c r="I5" t="s">
        <v>197</v>
      </c>
    </row>
    <row r="6" spans="1:18" x14ac:dyDescent="0.25">
      <c r="A6" s="18">
        <f t="shared" ref="A6:A13" si="0">+A5+0.1</f>
        <v>1.2000000000000002</v>
      </c>
      <c r="B6" s="1" t="s">
        <v>101</v>
      </c>
      <c r="C6" s="27">
        <f>('Financial Statements'!B42-'Financial Statements'!B39)/'Financial Statements'!B56</f>
        <v>0.84723539114961488</v>
      </c>
      <c r="D6" s="27">
        <f>('Financial Statements'!C42-'Financial Statements'!C39)/'Financial Statements'!C56</f>
        <v>1.0221149018576519</v>
      </c>
      <c r="E6" s="27">
        <f>('Financial Statements'!D42-'Financial Statements'!D39)/'Financial Statements'!D56</f>
        <v>1.325072111735236</v>
      </c>
      <c r="F6" s="18"/>
      <c r="I6" t="s">
        <v>229</v>
      </c>
    </row>
    <row r="7" spans="1:18" x14ac:dyDescent="0.25">
      <c r="A7" s="18">
        <f t="shared" si="0"/>
        <v>1.3000000000000003</v>
      </c>
      <c r="B7" s="1" t="s">
        <v>102</v>
      </c>
      <c r="C7" s="27">
        <f>('Financial Statements'!B36+'Financial Statements'!B37)/'Financial Statements'!B56</f>
        <v>0.31369900377966253</v>
      </c>
      <c r="D7" s="27">
        <f>('Financial Statements'!C36+'Financial Statements'!C37)/'Financial Statements'!C56</f>
        <v>0.49919111259872012</v>
      </c>
      <c r="E7" s="27">
        <f>('Financial Statements'!D36+'Financial Statements'!D37)/'Financial Statements'!D56</f>
        <v>0.86290230757552755</v>
      </c>
      <c r="F7" s="18"/>
      <c r="I7" t="s">
        <v>230</v>
      </c>
    </row>
    <row r="8" spans="1:18" x14ac:dyDescent="0.25">
      <c r="A8" s="18">
        <f t="shared" si="0"/>
        <v>1.4000000000000004</v>
      </c>
      <c r="B8" s="1" t="s">
        <v>149</v>
      </c>
      <c r="C8" s="18">
        <f>'Financial Statements'!B42/(('Financial Statements'!B17-'Financial Statements'!B79)/365)</f>
        <v>1228.1708953554833</v>
      </c>
      <c r="D8" s="18">
        <f>'Financial Statements'!C42/(('Financial Statements'!C17-'Financial Statements'!C79)/365)</f>
        <v>1509.5279575499187</v>
      </c>
      <c r="E8" s="18">
        <f>'Financial Statements'!D42/(('Financial Statements'!D17-'Financial Statements'!D79)/365)</f>
        <v>1899.7263870780819</v>
      </c>
      <c r="F8" t="s">
        <v>235</v>
      </c>
      <c r="I8" t="s">
        <v>198</v>
      </c>
      <c r="R8" t="s">
        <v>231</v>
      </c>
    </row>
    <row r="9" spans="1:18" x14ac:dyDescent="0.25">
      <c r="A9" s="18">
        <f t="shared" si="0"/>
        <v>1.5000000000000004</v>
      </c>
      <c r="B9" s="1" t="s">
        <v>103</v>
      </c>
      <c r="C9" s="18">
        <f>('Financial Statements'!B39/'Financial Statements'!B10)*365</f>
        <v>8.96054519012662</v>
      </c>
      <c r="D9" s="18">
        <f>('Financial Statements'!C39/'Financial Statements'!C10)*365</f>
        <v>12.491548167642746</v>
      </c>
      <c r="E9" s="18">
        <f>('Financial Statements'!D39/'Financial Statements'!D10)*365</f>
        <v>9.797767143027114</v>
      </c>
      <c r="F9" s="18"/>
      <c r="I9" t="s">
        <v>150</v>
      </c>
      <c r="R9" t="s">
        <v>199</v>
      </c>
    </row>
    <row r="10" spans="1:18" x14ac:dyDescent="0.25">
      <c r="A10" s="18">
        <f t="shared" si="0"/>
        <v>1.6000000000000005</v>
      </c>
      <c r="B10" s="1" t="s">
        <v>104</v>
      </c>
      <c r="C10" s="18">
        <f>('Financial Statements'!B51*365)/'Financial Statements'!B12</f>
        <v>104.68527730310539</v>
      </c>
      <c r="D10" s="18">
        <f>('Financial Statements'!C51*365)/'Financial Statements'!C12</f>
        <v>93.85107122231561</v>
      </c>
      <c r="E10" s="18">
        <f>('Financial Statements'!D51*365)/'Financial Statements'!D12</f>
        <v>91.048189715674184</v>
      </c>
      <c r="F10" s="18"/>
      <c r="I10" t="s">
        <v>200</v>
      </c>
    </row>
    <row r="11" spans="1:18" x14ac:dyDescent="0.25">
      <c r="A11" s="18">
        <f t="shared" si="0"/>
        <v>1.7000000000000006</v>
      </c>
      <c r="B11" s="1" t="s">
        <v>105</v>
      </c>
      <c r="C11" s="18">
        <f>('Financial Statements'!B38*365)/'Financial Statements'!B8</f>
        <v>26.087825363656652</v>
      </c>
      <c r="D11" s="18">
        <f>('Financial Statements'!C38*365)/'Financial Statements'!C8</f>
        <v>26.219311841713207</v>
      </c>
      <c r="E11" s="18">
        <f>('Financial Statements'!D38*365)/'Financial Statements'!D8</f>
        <v>21.433437152796749</v>
      </c>
      <c r="F11" s="18"/>
      <c r="I11" t="s">
        <v>201</v>
      </c>
    </row>
    <row r="12" spans="1:18" x14ac:dyDescent="0.25">
      <c r="A12" s="18">
        <f t="shared" si="0"/>
        <v>1.8000000000000007</v>
      </c>
      <c r="B12" s="1" t="s">
        <v>106</v>
      </c>
      <c r="C12" s="18">
        <f>C9+C11-C10</f>
        <v>-69.636906749322122</v>
      </c>
      <c r="D12" s="18">
        <f>D9+D11-D10</f>
        <v>-55.140211212959656</v>
      </c>
      <c r="E12" s="18">
        <f>E9+E11-E10</f>
        <v>-59.816985419850319</v>
      </c>
      <c r="F12" s="18"/>
      <c r="I12" t="s">
        <v>202</v>
      </c>
    </row>
    <row r="13" spans="1:18" x14ac:dyDescent="0.25">
      <c r="A13" s="18">
        <f t="shared" si="0"/>
        <v>1.9000000000000008</v>
      </c>
      <c r="B13" s="1" t="s">
        <v>107</v>
      </c>
      <c r="C13" s="24">
        <f>('List of Ratios'!C14/'Financial Statements'!B8)</f>
        <v>-4.711052727678481E-2</v>
      </c>
      <c r="D13" s="24">
        <f>('List of Ratios'!D14/'Financial Statements'!C8)</f>
        <v>2.557289573748623E-2</v>
      </c>
      <c r="E13" s="24">
        <f>('List of Ratios'!E14/'Financial Statements'!D8)</f>
        <v>0.13959528623208203</v>
      </c>
      <c r="F13" s="24"/>
      <c r="I13" t="s">
        <v>203</v>
      </c>
    </row>
    <row r="14" spans="1:18" x14ac:dyDescent="0.25">
      <c r="A14" s="18"/>
      <c r="B14" s="3" t="s">
        <v>108</v>
      </c>
      <c r="C14">
        <f>'Financial Statements'!B42-'Financial Statements'!B56</f>
        <v>-18577</v>
      </c>
      <c r="D14">
        <f>'Financial Statements'!C42-'Financial Statements'!C56</f>
        <v>9355</v>
      </c>
      <c r="E14">
        <f>'Financial Statements'!D42-'Financial Statements'!D56</f>
        <v>38321</v>
      </c>
      <c r="I14" t="s">
        <v>204</v>
      </c>
    </row>
    <row r="15" spans="1:18" x14ac:dyDescent="0.25">
      <c r="A15" s="18"/>
    </row>
    <row r="16" spans="1:18" x14ac:dyDescent="0.25">
      <c r="A16" s="18">
        <f>+A4+1</f>
        <v>2</v>
      </c>
      <c r="B16" s="17" t="s">
        <v>109</v>
      </c>
    </row>
    <row r="17" spans="1:18" x14ac:dyDescent="0.25">
      <c r="A17" s="18">
        <f>+A16+0.1</f>
        <v>2.1</v>
      </c>
      <c r="B17" s="1" t="s">
        <v>9</v>
      </c>
      <c r="C17" s="24">
        <f>'Financial Statements'!B13/'Financial Statements'!B8</f>
        <v>0.43309630561360085</v>
      </c>
      <c r="D17" s="24">
        <f>'Financial Statements'!C13/'Financial Statements'!C8</f>
        <v>0.41779359625167778</v>
      </c>
      <c r="E17" s="24">
        <f>'Financial Statements'!D13/'Financial Statements'!D8</f>
        <v>0.38233247727810865</v>
      </c>
      <c r="F17" s="24"/>
      <c r="I17" t="s">
        <v>205</v>
      </c>
    </row>
    <row r="18" spans="1:18" x14ac:dyDescent="0.25">
      <c r="A18" s="18">
        <f>+A17+0.1</f>
        <v>2.2000000000000002</v>
      </c>
      <c r="B18" s="1" t="s">
        <v>110</v>
      </c>
      <c r="C18" s="24">
        <f>('Financial Statements'!B18+'Financial Statements'!B79)/'Financial Statements'!B8</f>
        <v>0.3310467428130896</v>
      </c>
      <c r="D18" s="24">
        <f>('Financial Statements'!C18+'Financial Statements'!C79)/'Financial Statements'!C8</f>
        <v>0.32866979938056462</v>
      </c>
      <c r="E18" s="24">
        <f>('Financial Statements'!D18+'Financial Statements'!D79)/'Financial Statements'!D8</f>
        <v>0.2817478097736007</v>
      </c>
      <c r="F18" s="24"/>
      <c r="I18" t="s">
        <v>206</v>
      </c>
    </row>
    <row r="19" spans="1:18" x14ac:dyDescent="0.25">
      <c r="A19" s="18"/>
      <c r="B19" s="3" t="s">
        <v>111</v>
      </c>
      <c r="C19" s="2">
        <f>'Financial Statements'!B18+'Financial Statements'!B79</f>
        <v>130541</v>
      </c>
      <c r="D19" s="2">
        <f>'Financial Statements'!C18+'Financial Statements'!C79</f>
        <v>120233</v>
      </c>
      <c r="E19" s="2">
        <f>'Financial Statements'!D18+'Financial Statements'!D79</f>
        <v>77344</v>
      </c>
      <c r="F19" s="2"/>
      <c r="I19" t="s">
        <v>207</v>
      </c>
    </row>
    <row r="20" spans="1:18" x14ac:dyDescent="0.25">
      <c r="A20" s="18">
        <f>+A18+0.1</f>
        <v>2.3000000000000003</v>
      </c>
      <c r="B20" s="1" t="s">
        <v>112</v>
      </c>
      <c r="C20" s="24">
        <f>C21/'Financial Statements'!B8</f>
        <v>0.30288744395528594</v>
      </c>
      <c r="D20" s="24">
        <f>D21/'Financial Statements'!C8</f>
        <v>0.29782377527561593</v>
      </c>
      <c r="E20" s="24">
        <f>E21/'Financial Statements'!D8</f>
        <v>0.24147314354406862</v>
      </c>
      <c r="F20" s="24"/>
      <c r="I20" t="s">
        <v>208</v>
      </c>
    </row>
    <row r="21" spans="1:18" x14ac:dyDescent="0.25">
      <c r="A21" s="18"/>
      <c r="B21" s="3" t="s">
        <v>113</v>
      </c>
      <c r="C21" s="2">
        <f>'Financial Statements'!B18</f>
        <v>119437</v>
      </c>
      <c r="D21" s="2">
        <f>'Financial Statements'!C18</f>
        <v>108949</v>
      </c>
      <c r="E21" s="2">
        <f>'Financial Statements'!D18</f>
        <v>66288</v>
      </c>
      <c r="F21" s="2"/>
      <c r="I21" t="s">
        <v>209</v>
      </c>
    </row>
    <row r="22" spans="1:18" x14ac:dyDescent="0.25">
      <c r="A22" s="18">
        <f>+A20+0.1</f>
        <v>2.4000000000000004</v>
      </c>
      <c r="B22" s="1" t="s">
        <v>114</v>
      </c>
      <c r="C22" s="24">
        <f>'Financial Statements'!B22/'Financial Statements'!B8</f>
        <v>0.25309640705199732</v>
      </c>
      <c r="D22" s="24">
        <f>'Financial Statements'!C22/'Financial Statements'!C8</f>
        <v>0.25881793355694238</v>
      </c>
      <c r="E22" s="24">
        <f>'Financial Statements'!D22/'Financial Statements'!D8</f>
        <v>0.20913611278072236</v>
      </c>
      <c r="F22" s="24"/>
      <c r="I22" t="s">
        <v>210</v>
      </c>
    </row>
    <row r="23" spans="1:18" x14ac:dyDescent="0.25">
      <c r="A23" s="18"/>
    </row>
    <row r="24" spans="1:18" x14ac:dyDescent="0.25">
      <c r="A24" s="18">
        <f>+A16+1</f>
        <v>3</v>
      </c>
      <c r="B24" s="7" t="s">
        <v>115</v>
      </c>
    </row>
    <row r="25" spans="1:18" x14ac:dyDescent="0.25">
      <c r="A25" s="18">
        <f>+A24+0.1</f>
        <v>3.1</v>
      </c>
      <c r="B25" s="1" t="s">
        <v>116</v>
      </c>
      <c r="C25" s="27">
        <f>'Financial Statements'!B59/'Financial Statements'!B68</f>
        <v>1.9529325860435744</v>
      </c>
      <c r="D25" s="27">
        <f>'Financial Statements'!C59/'Financial Statements'!C68</f>
        <v>1.729370740212395</v>
      </c>
      <c r="E25" s="27">
        <f>'Financial Statements'!D59/'Financial Statements'!D68</f>
        <v>1.5100782075024104</v>
      </c>
      <c r="F25" t="s">
        <v>236</v>
      </c>
      <c r="I25" t="s">
        <v>211</v>
      </c>
    </row>
    <row r="26" spans="1:18" x14ac:dyDescent="0.25">
      <c r="A26" s="18">
        <f t="shared" ref="A26:A30" si="1">+A25+0.1</f>
        <v>3.2</v>
      </c>
      <c r="B26" s="1" t="s">
        <v>117</v>
      </c>
      <c r="C26" s="27">
        <f>(('Financial Statements'!B59+'Financial Statements'!B60)/'Financial Statements'!B48)</f>
        <v>0.41984096610962285</v>
      </c>
      <c r="D26" s="27">
        <f>(('Financial Statements'!C59+'Financial Statements'!C60)/'Financial Statements'!C48)</f>
        <v>0.46276374493592631</v>
      </c>
      <c r="E26" s="27">
        <f>(('Financial Statements'!D59+'Financial Statements'!D60)/'Financial Statements'!D48)</f>
        <v>0.47287025144494393</v>
      </c>
      <c r="F26" t="s">
        <v>237</v>
      </c>
      <c r="I26" t="s">
        <v>247</v>
      </c>
    </row>
    <row r="27" spans="1:18" x14ac:dyDescent="0.25">
      <c r="A27" s="18">
        <f t="shared" si="1"/>
        <v>3.3000000000000003</v>
      </c>
      <c r="B27" s="1" t="s">
        <v>118</v>
      </c>
      <c r="C27" s="27">
        <f>'Financial Statements'!B59/('Financial Statements'!B59+'Financial Statements'!B68)</f>
        <v>0.66135359651409131</v>
      </c>
      <c r="D27" s="27">
        <f>'Financial Statements'!C59/('Financial Statements'!C59+'Financial Statements'!C68)</f>
        <v>0.63361518269878514</v>
      </c>
      <c r="E27" s="27">
        <f>'Financial Statements'!D59/('Financial Statements'!D59+'Financial Statements'!D68)</f>
        <v>0.60160603880345842</v>
      </c>
      <c r="F27" t="s">
        <v>238</v>
      </c>
      <c r="I27" t="s">
        <v>212</v>
      </c>
    </row>
    <row r="28" spans="1:18" x14ac:dyDescent="0.25">
      <c r="A28" s="18">
        <f t="shared" si="1"/>
        <v>3.4000000000000004</v>
      </c>
      <c r="B28" s="1" t="s">
        <v>119</v>
      </c>
      <c r="C28" s="27">
        <f>'Financial Statements'!B18/'Financial Statements'!B114</f>
        <v>41.68830715532286</v>
      </c>
      <c r="D28" s="27">
        <f>'Financial Statements'!C18/'Financial Statements'!C114</f>
        <v>40.546706363974693</v>
      </c>
      <c r="E28" s="27">
        <f>'Financial Statements'!D18/'Financial Statements'!D114</f>
        <v>22.081279147235175</v>
      </c>
      <c r="I28" t="s">
        <v>213</v>
      </c>
    </row>
    <row r="29" spans="1:18" x14ac:dyDescent="0.25">
      <c r="A29" s="18">
        <f t="shared" si="1"/>
        <v>3.5000000000000004</v>
      </c>
      <c r="B29" s="1" t="s">
        <v>120</v>
      </c>
      <c r="C29" s="27">
        <f>'Financial Statements'!B20/('Financial Statements'!B114-'Financial Statements'!B105)</f>
        <v>9.5988878143133469</v>
      </c>
      <c r="D29" s="27">
        <f>'Financial Statements'!C20/('Financial Statements'!C114-'Financial Statements'!C105)</f>
        <v>9.5485704293083842</v>
      </c>
      <c r="E29" s="27">
        <f>'Financial Statements'!D20/('Financial Statements'!D114-'Financial Statements'!D105)</f>
        <v>4.2921758044910758</v>
      </c>
      <c r="F29" t="s">
        <v>239</v>
      </c>
      <c r="H29" s="31" t="s">
        <v>248</v>
      </c>
      <c r="I29" s="31"/>
      <c r="J29" s="31"/>
      <c r="K29" s="31"/>
      <c r="L29" s="31"/>
      <c r="M29" s="31"/>
      <c r="N29" s="31"/>
      <c r="O29" s="31"/>
      <c r="P29" s="31"/>
      <c r="Q29" s="31"/>
      <c r="R29" s="31"/>
    </row>
    <row r="30" spans="1:18" x14ac:dyDescent="0.25">
      <c r="A30" s="18">
        <f t="shared" si="1"/>
        <v>3.6000000000000005</v>
      </c>
      <c r="B30" s="1" t="s">
        <v>121</v>
      </c>
      <c r="C30" s="27">
        <f>C31/('Financial Statements'!B27/1000)</f>
        <v>5.8172308360595055</v>
      </c>
      <c r="D30" s="27">
        <f>D31/('Financial Statements'!C27/1000)</f>
        <v>4.1374094140853463</v>
      </c>
      <c r="E30" s="27">
        <f>E31/('Financial Statements'!D27/1000)</f>
        <v>3.4747341232503075</v>
      </c>
      <c r="F30" t="s">
        <v>241</v>
      </c>
      <c r="H30" t="s">
        <v>214</v>
      </c>
    </row>
    <row r="31" spans="1:18" x14ac:dyDescent="0.25">
      <c r="A31" s="18"/>
      <c r="B31" s="3" t="s">
        <v>122</v>
      </c>
      <c r="C31">
        <f>'Financial Statements'!B91+'Financial Statements'!B99-'Financial Statements'!B104</f>
        <v>94332</v>
      </c>
      <c r="D31">
        <f>'Financial Statements'!C91+'Financial Statements'!C99-'Financial Statements'!C104</f>
        <v>69100</v>
      </c>
      <c r="E31">
        <f>'Financial Statements'!D91+'Financial Statements'!D99-'Financial Statements'!D104</f>
        <v>60294</v>
      </c>
      <c r="F31" t="s">
        <v>240</v>
      </c>
      <c r="H31" t="s">
        <v>151</v>
      </c>
    </row>
    <row r="32" spans="1:18" x14ac:dyDescent="0.25">
      <c r="A32" s="18"/>
    </row>
    <row r="33" spans="1:15" x14ac:dyDescent="0.25">
      <c r="A33" s="18">
        <f>+A24+1</f>
        <v>4</v>
      </c>
      <c r="B33" s="17" t="s">
        <v>123</v>
      </c>
    </row>
    <row r="34" spans="1:15" x14ac:dyDescent="0.25">
      <c r="A34" s="18">
        <f>+A33+0.1</f>
        <v>4.0999999999999996</v>
      </c>
      <c r="B34" s="1" t="s">
        <v>124</v>
      </c>
      <c r="C34" s="27">
        <f>'Financial Statements'!B8/'Financial Statements'!B48</f>
        <v>1.1178523337727317</v>
      </c>
      <c r="D34" s="27">
        <f>'Financial Statements'!C8/'Financial Statements'!C48</f>
        <v>1.0422077367080529</v>
      </c>
      <c r="E34" s="27">
        <f>'Financial Statements'!D8/'Financial Statements'!D48</f>
        <v>0.84756150274168851</v>
      </c>
      <c r="H34" t="s">
        <v>215</v>
      </c>
    </row>
    <row r="35" spans="1:15" x14ac:dyDescent="0.25">
      <c r="A35" s="18">
        <f t="shared" ref="A35:A37" si="2">+A34+0.1</f>
        <v>4.1999999999999993</v>
      </c>
      <c r="B35" s="1" t="s">
        <v>125</v>
      </c>
      <c r="C35" s="27">
        <f>'Financial Statements'!B8/'Financial Statements'!B47</f>
        <v>1.8142535081665516</v>
      </c>
      <c r="D35" s="27">
        <f>'Financial Statements'!C8/'Financial Statements'!C47</f>
        <v>1.6922966608994938</v>
      </c>
      <c r="E35" s="27">
        <f>'Financial Statements'!D8/'Financial Statements'!D47</f>
        <v>1.5236020535590398</v>
      </c>
      <c r="H35" t="s">
        <v>216</v>
      </c>
    </row>
    <row r="36" spans="1:15" x14ac:dyDescent="0.25">
      <c r="A36" s="18">
        <f t="shared" si="2"/>
        <v>4.2999999999999989</v>
      </c>
      <c r="B36" s="1" t="s">
        <v>126</v>
      </c>
      <c r="C36" s="27">
        <f>'Financial Statements'!B10/'Financial Statements'!B39</f>
        <v>40.734128588758594</v>
      </c>
      <c r="D36" s="27">
        <f>'Financial Statements'!C10/'Financial Statements'!C39</f>
        <v>29.219756838905774</v>
      </c>
      <c r="E36" s="27">
        <f>'Financial Statements'!D10/'Financial Statements'!D39</f>
        <v>37.253385865550356</v>
      </c>
      <c r="H36" t="s">
        <v>233</v>
      </c>
    </row>
    <row r="37" spans="1:15" x14ac:dyDescent="0.25">
      <c r="A37" s="18">
        <f t="shared" si="2"/>
        <v>4.3999999999999986</v>
      </c>
      <c r="B37" s="1" t="s">
        <v>127</v>
      </c>
      <c r="C37" s="27">
        <f>'Financial Statements'!B22/'Financial Statements'!B48</f>
        <v>0.28292440929256851</v>
      </c>
      <c r="D37" s="27">
        <f>'Financial Statements'!C22/'Financial Statements'!C48</f>
        <v>0.26974205275183616</v>
      </c>
      <c r="E37" s="27">
        <f>'Financial Statements'!D22/'Financial Statements'!D48</f>
        <v>0.1772557180259843</v>
      </c>
      <c r="H37" t="s">
        <v>232</v>
      </c>
    </row>
    <row r="38" spans="1:15" x14ac:dyDescent="0.25">
      <c r="A38" s="18"/>
    </row>
    <row r="39" spans="1:15" x14ac:dyDescent="0.25">
      <c r="A39" s="18">
        <f>+A33+1</f>
        <v>5</v>
      </c>
      <c r="B39" s="17" t="s">
        <v>128</v>
      </c>
    </row>
    <row r="40" spans="1:15" x14ac:dyDescent="0.25">
      <c r="A40" s="18">
        <f>+A39+0.1</f>
        <v>5.0999999999999996</v>
      </c>
      <c r="B40" s="1" t="s">
        <v>129</v>
      </c>
      <c r="C40">
        <f>137.8215/'Financial Statements'!B24</f>
        <v>22.409999999999997</v>
      </c>
      <c r="D40">
        <f>141.01129/'Financial Statements'!C24</f>
        <v>24.869716049382717</v>
      </c>
      <c r="E40">
        <f>113.7647/'Financial Statements'!D24</f>
        <v>34.369999999999997</v>
      </c>
      <c r="H40" t="s">
        <v>217</v>
      </c>
    </row>
    <row r="41" spans="1:15" x14ac:dyDescent="0.25">
      <c r="A41" s="18">
        <f t="shared" ref="A41:A44" si="3">+A40+0.1</f>
        <v>5.1999999999999993</v>
      </c>
      <c r="B41" s="3" t="s">
        <v>130</v>
      </c>
      <c r="C41" s="32">
        <f>'Financial Statements'!B25</f>
        <v>6.11</v>
      </c>
      <c r="D41" s="32">
        <f>'Financial Statements'!C25</f>
        <v>5.61</v>
      </c>
      <c r="E41" s="32">
        <f>'Financial Statements'!D25</f>
        <v>3.28</v>
      </c>
      <c r="F41" t="s">
        <v>242</v>
      </c>
      <c r="H41" s="31" t="s">
        <v>249</v>
      </c>
      <c r="I41" s="31"/>
      <c r="J41" s="31"/>
      <c r="K41" s="31"/>
      <c r="L41" s="31"/>
      <c r="M41" s="31"/>
      <c r="N41" s="31"/>
      <c r="O41" s="31"/>
    </row>
    <row r="42" spans="1:15" x14ac:dyDescent="0.25">
      <c r="A42" s="18">
        <f t="shared" si="3"/>
        <v>5.2999999999999989</v>
      </c>
      <c r="B42" s="1" t="s">
        <v>131</v>
      </c>
      <c r="C42">
        <f>137.8215/C43</f>
        <v>44.404185019507807</v>
      </c>
      <c r="D42">
        <f>141.0129/D43</f>
        <v>37.694898342924397</v>
      </c>
      <c r="E42">
        <f>113.7647/E43</f>
        <v>30.519169366623302</v>
      </c>
      <c r="H42" t="s">
        <v>218</v>
      </c>
    </row>
    <row r="43" spans="1:15" ht="90" x14ac:dyDescent="0.25">
      <c r="A43" s="18">
        <f t="shared" si="3"/>
        <v>5.3999999999999986</v>
      </c>
      <c r="B43" s="3" t="s">
        <v>132</v>
      </c>
      <c r="C43">
        <f>('Financial Statements'!B68/('Financial Statements'!B28/1000))</f>
        <v>3.1037952827971451</v>
      </c>
      <c r="D43">
        <f>('Financial Statements'!C68/('Financial Statements'!C28/1000))</f>
        <v>3.740901453484597</v>
      </c>
      <c r="E43">
        <f>('Financial Statements'!D68/('Financial Statements'!D28/1000))</f>
        <v>3.7276473233382479</v>
      </c>
      <c r="F43" s="28" t="s">
        <v>243</v>
      </c>
      <c r="H43" t="s">
        <v>219</v>
      </c>
      <c r="M43" t="s">
        <v>220</v>
      </c>
    </row>
    <row r="44" spans="1:15" x14ac:dyDescent="0.25">
      <c r="A44" s="18">
        <f t="shared" si="3"/>
        <v>5.4999999999999982</v>
      </c>
      <c r="B44" s="1" t="s">
        <v>133</v>
      </c>
      <c r="C44">
        <f>-'Financial Statements'!B102/'Financial Statements'!B22</f>
        <v>0.14870294480125848</v>
      </c>
      <c r="D44">
        <f>-'Financial Statements'!C102/'Financial Statements'!C22</f>
        <v>0.15279890156316012</v>
      </c>
      <c r="E44">
        <f>-'Financial Statements'!D102/'Financial Statements'!D22</f>
        <v>0.24526658654264863</v>
      </c>
      <c r="H44" t="s">
        <v>221</v>
      </c>
    </row>
    <row r="45" spans="1:15" ht="90" x14ac:dyDescent="0.25">
      <c r="A45" s="18"/>
      <c r="B45" s="3" t="s">
        <v>134</v>
      </c>
      <c r="C45">
        <f>-'Financial Statements'!B102/('Financial Statements'!B28/1000)</f>
        <v>0.90905087211857494</v>
      </c>
      <c r="D45">
        <f>-'Financial Statements'!C102/('Financial Statements'!C28/1000)</f>
        <v>0.85781615672153533</v>
      </c>
      <c r="E45">
        <f>-'Financial Statements'!D102/('Financial Statements'!D28/1000)</f>
        <v>0.80333341434558025</v>
      </c>
      <c r="F45" s="28" t="s">
        <v>243</v>
      </c>
      <c r="H45" t="s">
        <v>222</v>
      </c>
    </row>
    <row r="46" spans="1:15" x14ac:dyDescent="0.25">
      <c r="A46" s="18">
        <f>+A44+0.1</f>
        <v>5.5999999999999979</v>
      </c>
      <c r="B46" s="1" t="s">
        <v>135</v>
      </c>
      <c r="C46">
        <f>(C45/137.8215)</f>
        <v>6.5958567576073039E-3</v>
      </c>
      <c r="D46">
        <f>D45/141.0129</f>
        <v>6.0832459776483947E-3</v>
      </c>
      <c r="E46">
        <f>E45/113.7647</f>
        <v>7.0613592295815861E-3</v>
      </c>
      <c r="H46" t="s">
        <v>223</v>
      </c>
    </row>
    <row r="47" spans="1:15" x14ac:dyDescent="0.25">
      <c r="A47" s="18">
        <f t="shared" ref="A47:A50" si="4">+A45+0.1</f>
        <v>0.1</v>
      </c>
      <c r="B47" s="1" t="s">
        <v>136</v>
      </c>
      <c r="C47">
        <f>'Financial Statements'!B22/'Financial Statements'!B68</f>
        <v>1.9695887275023682</v>
      </c>
      <c r="D47">
        <f>'Financial Statements'!C22/'Financial Statements'!C68</f>
        <v>1.5007132667617689</v>
      </c>
      <c r="E47">
        <f>'Financial Statements'!D22/'Financial Statements'!D68</f>
        <v>0.87866358530127486</v>
      </c>
      <c r="H47" t="s">
        <v>224</v>
      </c>
    </row>
    <row r="48" spans="1:15" x14ac:dyDescent="0.25">
      <c r="A48" s="18">
        <f t="shared" si="4"/>
        <v>5.6999999999999975</v>
      </c>
      <c r="B48" s="1" t="s">
        <v>137</v>
      </c>
      <c r="C48">
        <f>'Financial Statements'!B18/('Financial Statements'!B55+'Financial Statements'!B59+'Financial Statements'!B68)</f>
        <v>0.74295684845016452</v>
      </c>
      <c r="D48">
        <f>'Financial Statements'!C18/('Financial Statements'!C55+'Financial Statements'!C59+'Financial Statements'!C68)</f>
        <v>0.59924976211298675</v>
      </c>
      <c r="E48">
        <f>'Financial Statements'!D18/('Financial Statements'!D55+'Financial Statements'!D59+'Financial Statements'!D68)</f>
        <v>0.38365773618321669</v>
      </c>
      <c r="F48" t="s">
        <v>244</v>
      </c>
      <c r="H48" t="s">
        <v>226</v>
      </c>
    </row>
    <row r="49" spans="1:15" x14ac:dyDescent="0.25">
      <c r="A49" s="18">
        <f t="shared" si="4"/>
        <v>0.2</v>
      </c>
      <c r="B49" s="1" t="s">
        <v>127</v>
      </c>
      <c r="C49">
        <f>'Financial Statements'!B22/'Financial Statements'!B48</f>
        <v>0.28292440929256851</v>
      </c>
      <c r="D49">
        <f>'Financial Statements'!C22/'Financial Statements'!C48</f>
        <v>0.26974205275183616</v>
      </c>
      <c r="E49">
        <f>'Financial Statements'!D22/'Financial Statements'!D48</f>
        <v>0.1772557180259843</v>
      </c>
      <c r="H49" t="s">
        <v>225</v>
      </c>
    </row>
    <row r="50" spans="1:15" x14ac:dyDescent="0.25">
      <c r="A50" s="18">
        <f t="shared" si="4"/>
        <v>5.7999999999999972</v>
      </c>
      <c r="B50" s="1" t="s">
        <v>138</v>
      </c>
      <c r="C50">
        <f>C51/C19</f>
        <v>0</v>
      </c>
      <c r="D50">
        <f>D51/D19</f>
        <v>2.6287458518044131</v>
      </c>
      <c r="E50">
        <f>E51/E19</f>
        <v>3.6961108812577574</v>
      </c>
      <c r="H50" t="s">
        <v>228</v>
      </c>
    </row>
    <row r="51" spans="1:15" x14ac:dyDescent="0.25">
      <c r="A51" s="18"/>
      <c r="B51" s="3" t="s">
        <v>139</v>
      </c>
      <c r="C51" s="23"/>
      <c r="D51" s="23">
        <f>'Financial Statements'!C69-'Financial Statements'!C36</f>
        <v>316062</v>
      </c>
      <c r="E51" s="23">
        <f>'Financial Statements'!D69-'Financial Statements'!D36</f>
        <v>285872</v>
      </c>
      <c r="F51" t="s">
        <v>245</v>
      </c>
      <c r="H51" t="s">
        <v>227</v>
      </c>
      <c r="K51" s="31" t="s">
        <v>250</v>
      </c>
      <c r="L51" s="31"/>
      <c r="M51" s="31"/>
      <c r="N51" s="31"/>
      <c r="O51" s="31"/>
    </row>
    <row r="53" spans="1:15" x14ac:dyDescent="0.25">
      <c r="C53" s="24"/>
    </row>
    <row r="54" spans="1:15" x14ac:dyDescent="0.25">
      <c r="B54" t="s">
        <v>152</v>
      </c>
      <c r="C54" s="24">
        <f>+('Financial Statements'!C6-'Financial Statements'!D6)/'Financial Statements'!D6</f>
        <v>0.34720743656765435</v>
      </c>
      <c r="D54" s="29">
        <f>+('Financial Statements'!C6-'Financial Statements'!B6)/'Financial Statements'!B6</f>
        <v>-5.9478366471747222E-2</v>
      </c>
      <c r="F54" t="s">
        <v>246</v>
      </c>
    </row>
    <row r="55" spans="1:15" x14ac:dyDescent="0.25">
      <c r="B55" t="s">
        <v>153</v>
      </c>
      <c r="C55" s="24">
        <f>('Financial Statements'!B6-'Financial Statements'!C6)/'Financial Statements'!C6</f>
        <v>6.3239764351428418E-2</v>
      </c>
    </row>
    <row r="56" spans="1:15" x14ac:dyDescent="0.25">
      <c r="B56" t="s">
        <v>154</v>
      </c>
      <c r="C56" s="24">
        <f>('Financial Statements'!C7-'Financial Statements'!D7)/'Financial Statements'!D7</f>
        <v>0.27259708376729652</v>
      </c>
    </row>
    <row r="57" spans="1:15" x14ac:dyDescent="0.25">
      <c r="B57" t="s">
        <v>155</v>
      </c>
      <c r="C57" s="24">
        <f>('Financial Statements'!B7-'Financial Statements'!C7)/'Financial Statements'!C7</f>
        <v>0.14181951041286078</v>
      </c>
    </row>
    <row r="58" spans="1:15" x14ac:dyDescent="0.25">
      <c r="B58" t="s">
        <v>156</v>
      </c>
      <c r="C58" s="24">
        <f>('Financial Statements'!C8-'Financial Statements'!D8)/'Financial Statements'!D8</f>
        <v>0.33259384733074693</v>
      </c>
    </row>
    <row r="59" spans="1:15" x14ac:dyDescent="0.25">
      <c r="B59" t="s">
        <v>157</v>
      </c>
      <c r="C59" s="24">
        <f>('Financial Statements'!B8-'Financial Statements'!C8)/'Financial Statements'!C8</f>
        <v>7.7937876041846058E-2</v>
      </c>
    </row>
    <row r="60" spans="1:15" x14ac:dyDescent="0.25">
      <c r="B60" t="s">
        <v>158</v>
      </c>
      <c r="C60" s="24">
        <f>('Financial Statements'!C13-'Financial Statements'!D13)/'Financial Statements'!D13</f>
        <v>0.45619116582186819</v>
      </c>
    </row>
    <row r="61" spans="1:15" x14ac:dyDescent="0.25">
      <c r="B61" t="s">
        <v>159</v>
      </c>
      <c r="C61" s="24">
        <f>('Financial Statements'!B13-'Financial Statements'!C13)/'Financial Statements'!C13</f>
        <v>0.11741997958596143</v>
      </c>
    </row>
    <row r="62" spans="1:15" x14ac:dyDescent="0.25">
      <c r="B62" t="s">
        <v>160</v>
      </c>
      <c r="C62" s="24">
        <f>('Financial Statements'!C15-'Financial Statements'!D15)/'Financial Statements'!D15</f>
        <v>0.16862201365187712</v>
      </c>
    </row>
    <row r="63" spans="1:15" x14ac:dyDescent="0.25">
      <c r="B63" t="s">
        <v>161</v>
      </c>
      <c r="C63" s="24">
        <f>('Financial Statements'!B15-'Financial Statements'!C15)/'Financial Statements'!C15</f>
        <v>0.19791001186456147</v>
      </c>
    </row>
    <row r="64" spans="1:15" x14ac:dyDescent="0.25">
      <c r="B64" t="s">
        <v>162</v>
      </c>
      <c r="C64" s="24">
        <f>('Financial Statements'!C16-'Financial Statements'!D16)/'Financial Statements'!D16</f>
        <v>0.10328379192608958</v>
      </c>
    </row>
    <row r="65" spans="2:3" x14ac:dyDescent="0.25">
      <c r="B65" t="s">
        <v>251</v>
      </c>
      <c r="C65" s="24">
        <f>('Financial Statements'!B16-'Financial Statements'!C16)/'Financial Statements'!C16</f>
        <v>0.14203795567287125</v>
      </c>
    </row>
    <row r="66" spans="2:3" x14ac:dyDescent="0.25">
      <c r="B66" t="s">
        <v>163</v>
      </c>
      <c r="C66" s="24">
        <f>('Financial Statements'!C17-'Financial Statements'!D17)/'Financial Statements'!D17</f>
        <v>0.13496948381090307</v>
      </c>
    </row>
    <row r="67" spans="2:3" x14ac:dyDescent="0.25">
      <c r="B67" t="s">
        <v>164</v>
      </c>
      <c r="C67" s="24">
        <f>('Financial Statements'!B17-'Financial Statements'!C17)/'Financial Statements'!C17</f>
        <v>0.16993642764372138</v>
      </c>
    </row>
    <row r="68" spans="2:3" x14ac:dyDescent="0.25">
      <c r="B68" t="s">
        <v>165</v>
      </c>
      <c r="C68" s="24">
        <f>('Financial Statements'!C18-'Financial Statements'!D18)/'Financial Statements'!D18</f>
        <v>0.64357048032826458</v>
      </c>
    </row>
    <row r="69" spans="2:3" x14ac:dyDescent="0.25">
      <c r="B69" t="s">
        <v>166</v>
      </c>
      <c r="C69" s="24">
        <f>('Financial Statements'!B18-'Financial Statements'!C18)/'Financial Statements'!C18</f>
        <v>9.6265225013538444E-2</v>
      </c>
    </row>
    <row r="70" spans="2:3" x14ac:dyDescent="0.25">
      <c r="B70" t="s">
        <v>167</v>
      </c>
      <c r="C70" s="24">
        <f>('Financial Statements'!C20-'Financial Statements'!D20)/'Financial Statements'!D20</f>
        <v>0.62774440685039723</v>
      </c>
    </row>
    <row r="71" spans="2:3" x14ac:dyDescent="0.25">
      <c r="B71" t="s">
        <v>168</v>
      </c>
      <c r="C71" s="24">
        <f>('Financial Statements'!B20-'Financial Statements'!C20)/'Financial Statements'!C20</f>
        <v>9.0616901846951203E-2</v>
      </c>
    </row>
    <row r="72" spans="2:3" x14ac:dyDescent="0.25">
      <c r="B72" t="s">
        <v>169</v>
      </c>
      <c r="C72" s="24">
        <f>('Financial Statements'!C22-'Financial Statements'!D22)/'Financial Statements'!D22</f>
        <v>0.64916131055024295</v>
      </c>
    </row>
    <row r="73" spans="2:3" x14ac:dyDescent="0.25">
      <c r="B73" t="s">
        <v>170</v>
      </c>
      <c r="C73" s="24">
        <f>('Financial Statements'!B22-'Financial Statements'!C22)/'Financial Statements'!C22</f>
        <v>5.4108576256865229E-2</v>
      </c>
    </row>
    <row r="74" spans="2:3" x14ac:dyDescent="0.25">
      <c r="B74" t="s">
        <v>171</v>
      </c>
      <c r="C74" s="24">
        <f>('Financial Statements'!C42-'Financial Statements'!D42)/'Financial Statements'!D42</f>
        <v>-6.176894226687913E-2</v>
      </c>
    </row>
    <row r="75" spans="2:3" x14ac:dyDescent="0.25">
      <c r="B75" t="s">
        <v>172</v>
      </c>
      <c r="C75" s="24">
        <f>('Financial Statements'!B42-'Financial Statements'!C42)/'Financial Statements'!C42</f>
        <v>4.2199412619775131E-3</v>
      </c>
    </row>
    <row r="76" spans="2:3" x14ac:dyDescent="0.25">
      <c r="B76" t="s">
        <v>173</v>
      </c>
      <c r="C76" s="24">
        <f>('Financial Statements'!C47-'Financial Statements'!D47)/'Financial Statements'!D47</f>
        <v>0.19975579297904814</v>
      </c>
    </row>
    <row r="77" spans="2:3" x14ac:dyDescent="0.25">
      <c r="B77" t="s">
        <v>174</v>
      </c>
      <c r="C77" s="24">
        <f>('Financial Statements'!B47-'Financial Statements'!C47)/'Financial Statements'!C47</f>
        <v>5.4772720964443994E-3</v>
      </c>
    </row>
    <row r="78" spans="2:3" x14ac:dyDescent="0.25">
      <c r="B78" t="s">
        <v>175</v>
      </c>
      <c r="C78" s="24">
        <f>('Financial Statements'!C48-'Financial Statements'!D48)/'Financial Statements'!D48</f>
        <v>8.3714123400681711E-2</v>
      </c>
    </row>
    <row r="79" spans="2:3" x14ac:dyDescent="0.25">
      <c r="B79" t="s">
        <v>176</v>
      </c>
      <c r="C79" s="24">
        <f>('Financial Statements'!B48-'Financial Statements'!C48)/'Financial Statements'!C48</f>
        <v>4.9942735369029236E-3</v>
      </c>
    </row>
    <row r="80" spans="2:3" x14ac:dyDescent="0.25">
      <c r="B80" t="s">
        <v>177</v>
      </c>
      <c r="C80" s="24">
        <f>('Financial Statements'!C56-'Financial Statements'!D56)/'Financial Statements'!D56</f>
        <v>0.19061219067860938</v>
      </c>
    </row>
    <row r="81" spans="2:3" x14ac:dyDescent="0.25">
      <c r="B81" t="s">
        <v>178</v>
      </c>
      <c r="C81" s="24">
        <f>('Financial Statements'!B56-'Financial Statements'!C56)/'Financial Statements'!C56</f>
        <v>0.22713398841258836</v>
      </c>
    </row>
    <row r="82" spans="2:3" x14ac:dyDescent="0.25">
      <c r="B82" t="s">
        <v>179</v>
      </c>
      <c r="C82" s="24">
        <f>('Financial Statements'!C61-'Financial Statements'!D61)/'Financial Statements'!D61</f>
        <v>6.0552243775994566E-2</v>
      </c>
    </row>
    <row r="83" spans="2:3" x14ac:dyDescent="0.25">
      <c r="B83" t="s">
        <v>180</v>
      </c>
      <c r="C83" s="24">
        <f>('Financial Statements'!B61-'Financial Statements'!C61)/'Financial Statements'!C61</f>
        <v>-8.8222075835277747E-2</v>
      </c>
    </row>
    <row r="84" spans="2:3" x14ac:dyDescent="0.25">
      <c r="B84" t="s">
        <v>181</v>
      </c>
      <c r="C84" s="24">
        <f>('Financial Statements'!C62-'Financial Statements'!D62)/'Financial Statements'!D62</f>
        <v>0.11356841449783213</v>
      </c>
    </row>
    <row r="85" spans="2:3" x14ac:dyDescent="0.25">
      <c r="B85" t="s">
        <v>182</v>
      </c>
      <c r="C85" s="24">
        <f>('Financial Statements'!B62-'Financial Statements'!C62)/'Financial Statements'!C62</f>
        <v>4.9219900525160468E-2</v>
      </c>
    </row>
    <row r="86" spans="2:3" x14ac:dyDescent="0.25">
      <c r="B86" t="s">
        <v>184</v>
      </c>
      <c r="C86" s="24">
        <f>('Financial Statements'!C68-'Financial Statements'!D68)/'Financial Statements'!D68</f>
        <v>-3.4420483937617659E-2</v>
      </c>
    </row>
    <row r="87" spans="2:3" x14ac:dyDescent="0.25">
      <c r="B87" t="s">
        <v>183</v>
      </c>
      <c r="C87" s="24">
        <f>('Financial Statements'!B68-'Financial Statements'!C68)/'Financial Statements'!C68</f>
        <v>-0.19682992550324932</v>
      </c>
    </row>
    <row r="88" spans="2:3" x14ac:dyDescent="0.25">
      <c r="B88" t="s">
        <v>185</v>
      </c>
      <c r="C88" s="24">
        <f>('Financial Statements'!C69-'Financial Statements'!D69)/'Financial Statements'!D69</f>
        <v>8.3714123400681711E-2</v>
      </c>
    </row>
    <row r="89" spans="2:3" x14ac:dyDescent="0.25">
      <c r="B89" t="s">
        <v>186</v>
      </c>
      <c r="C89" s="24">
        <f>('Financial Statements'!B69-'Financial Statements'!C69)/'Financial Statements'!C69</f>
        <v>4.9942735369029236E-3</v>
      </c>
    </row>
    <row r="90" spans="2:3" x14ac:dyDescent="0.25">
      <c r="B90" t="s">
        <v>187</v>
      </c>
      <c r="C90" s="24">
        <f>('Financial Statements'!C91-'Financial Statements'!D91)/'Financial Statements'!D91</f>
        <v>0.28961003545132263</v>
      </c>
    </row>
    <row r="91" spans="2:3" x14ac:dyDescent="0.25">
      <c r="B91" t="s">
        <v>188</v>
      </c>
      <c r="C91" s="24">
        <f>('Financial Statements'!B91-'Financial Statements'!C91)/'Financial Statements'!C91</f>
        <v>0.17409984813241317</v>
      </c>
    </row>
    <row r="92" spans="2:3" x14ac:dyDescent="0.25">
      <c r="B92" t="s">
        <v>190</v>
      </c>
      <c r="C92" s="24">
        <f>('Financial Statements'!C99-'Financial Statements'!D99)/'Financial Statements'!D99</f>
        <v>2.3912333877360692</v>
      </c>
    </row>
    <row r="93" spans="2:3" x14ac:dyDescent="0.25">
      <c r="B93" t="s">
        <v>191</v>
      </c>
      <c r="C93" s="24">
        <f>('Financial Statements'!B99-'Financial Statements'!C99)/'Financial Statements'!C99</f>
        <v>0.53688552767273978</v>
      </c>
    </row>
    <row r="94" spans="2:3" x14ac:dyDescent="0.25">
      <c r="B94" t="s">
        <v>189</v>
      </c>
      <c r="C94" s="24">
        <f>('Financial Statements'!C108-'Financial Statements'!D108)/'Financial Statements'!D108</f>
        <v>7.5247638792904858E-2</v>
      </c>
    </row>
    <row r="95" spans="2:3" x14ac:dyDescent="0.25">
      <c r="B95" t="s">
        <v>192</v>
      </c>
      <c r="C95" s="24">
        <f>('Financial Statements'!B108-'Financial Statements'!C108)/'Financial Statements'!C108</f>
        <v>0.18634644842693862</v>
      </c>
    </row>
    <row r="96" spans="2:3" x14ac:dyDescent="0.25">
      <c r="B96" t="s">
        <v>193</v>
      </c>
      <c r="C96" s="24">
        <f>('Financial Statements'!C109-'Financial Statements'!D109)/'Financial Statements'!D109</f>
        <v>-0.6300910397700048</v>
      </c>
    </row>
    <row r="97" spans="2:5" x14ac:dyDescent="0.25">
      <c r="B97" t="s">
        <v>194</v>
      </c>
      <c r="C97" s="24">
        <f>('Financial Statements'!B109-'Financial Statements'!C109)/'Financial Statements'!C109</f>
        <v>1.8373056994818653</v>
      </c>
    </row>
    <row r="98" spans="2:5" x14ac:dyDescent="0.25">
      <c r="B98" t="s">
        <v>195</v>
      </c>
      <c r="C98" s="24">
        <f>('Financial Statements'!C110-'Financial Statements'!D110)/'Financial Statements'!D110</f>
        <v>-9.7011736912211918E-2</v>
      </c>
    </row>
    <row r="99" spans="2:5" x14ac:dyDescent="0.25">
      <c r="B99" t="s">
        <v>196</v>
      </c>
      <c r="C99" s="24">
        <f>('Financial Statements'!B110-'Financial Statements'!C110)/'Financial Statements'!C110</f>
        <v>-0.30482340170892591</v>
      </c>
    </row>
    <row r="101" spans="2:5" x14ac:dyDescent="0.25">
      <c r="B101" s="33" t="s">
        <v>252</v>
      </c>
      <c r="C101" s="33">
        <f>+'Financial Statements'!B4</f>
        <v>2022</v>
      </c>
      <c r="D101" s="33">
        <f>+'Financial Statements'!C4</f>
        <v>2021</v>
      </c>
      <c r="E101" s="33">
        <f>+'Financial Statements'!D4</f>
        <v>2020</v>
      </c>
    </row>
    <row r="102" spans="2:5" x14ac:dyDescent="0.25">
      <c r="B102" t="s">
        <v>253</v>
      </c>
      <c r="C102" s="24">
        <f>('Financial Statements'!B12/'Financial Statements'!B8)</f>
        <v>0.56690369438639909</v>
      </c>
      <c r="D102" s="24">
        <f>('Financial Statements'!C12/'Financial Statements'!C8)</f>
        <v>0.58220640374832222</v>
      </c>
      <c r="E102" s="24">
        <f>('Financial Statements'!D12/'Financial Statements'!D8)</f>
        <v>0.61766752272189129</v>
      </c>
    </row>
    <row r="103" spans="2:5" x14ac:dyDescent="0.25">
      <c r="C103" s="24"/>
      <c r="D103" s="24"/>
      <c r="E103" s="24"/>
    </row>
    <row r="104" spans="2:5" x14ac:dyDescent="0.25">
      <c r="C104" s="24"/>
      <c r="D104" s="24"/>
      <c r="E104" s="24"/>
    </row>
    <row r="105" spans="2:5" x14ac:dyDescent="0.25">
      <c r="C105" s="24"/>
      <c r="D105" s="24"/>
      <c r="E105" s="24"/>
    </row>
    <row r="106" spans="2:5" x14ac:dyDescent="0.25">
      <c r="B106" t="s">
        <v>254</v>
      </c>
      <c r="C106" s="24">
        <f>('Financial Statements'!B13/'Financial Statements'!B8)</f>
        <v>0.43309630561360085</v>
      </c>
      <c r="D106" s="24">
        <f>('Financial Statements'!C13/'Financial Statements'!C8)</f>
        <v>0.41779359625167778</v>
      </c>
      <c r="E106" s="24">
        <f>('Financial Statements'!D13/'Financial Statements'!D8)</f>
        <v>0.38233247727810865</v>
      </c>
    </row>
    <row r="107" spans="2:5" x14ac:dyDescent="0.25">
      <c r="C107" s="34"/>
      <c r="D107" s="24"/>
      <c r="E107" s="24"/>
    </row>
    <row r="108" spans="2:5" x14ac:dyDescent="0.25">
      <c r="C108" s="24"/>
      <c r="D108" s="24"/>
      <c r="E108" s="24"/>
    </row>
    <row r="109" spans="2:5" x14ac:dyDescent="0.25">
      <c r="C109" s="24"/>
      <c r="D109" s="24"/>
      <c r="E109" s="24"/>
    </row>
    <row r="110" spans="2:5" x14ac:dyDescent="0.25">
      <c r="B110" t="s">
        <v>255</v>
      </c>
      <c r="C110" s="24">
        <f>('Financial Statements'!B15/'Financial Statements'!B8)</f>
        <v>6.657148363798665E-2</v>
      </c>
      <c r="D110" s="24">
        <f>('Financial Statements'!C15/'Financial Statements'!C8)</f>
        <v>5.9904269074427925E-2</v>
      </c>
      <c r="E110" s="24">
        <f>('Financial Statements'!D15/'Financial Statements'!D8)</f>
        <v>6.8309564140393061E-2</v>
      </c>
    </row>
    <row r="111" spans="2:5" x14ac:dyDescent="0.25">
      <c r="C111" s="24"/>
      <c r="D111" s="24"/>
      <c r="E111" s="24"/>
    </row>
    <row r="112" spans="2:5" x14ac:dyDescent="0.25">
      <c r="C112" s="24"/>
      <c r="D112" s="24"/>
      <c r="E112" s="24"/>
    </row>
    <row r="113" spans="2:5" x14ac:dyDescent="0.25">
      <c r="B113" t="s">
        <v>256</v>
      </c>
      <c r="C113" s="24">
        <f>('Financial Statements'!B16/'Financial Statements'!B8)</f>
        <v>6.3637378020328261E-2</v>
      </c>
      <c r="D113" s="24">
        <f>('Financial Statements'!C16/'Financial Statements'!C8)</f>
        <v>6.006555190163388E-2</v>
      </c>
      <c r="E113" s="24">
        <f>('Financial Statements'!D16/'Financial Statements'!D8)</f>
        <v>7.2549769593646979E-2</v>
      </c>
    </row>
    <row r="114" spans="2:5" x14ac:dyDescent="0.25">
      <c r="C114" s="24"/>
      <c r="D114" s="24"/>
      <c r="E114" s="24"/>
    </row>
    <row r="115" spans="2:5" x14ac:dyDescent="0.25">
      <c r="C115" s="24"/>
      <c r="D115" s="24"/>
      <c r="E115" s="24"/>
    </row>
    <row r="116" spans="2:5" x14ac:dyDescent="0.25">
      <c r="C116" s="24"/>
      <c r="D116" s="24"/>
      <c r="E116" s="24"/>
    </row>
    <row r="117" spans="2:5" x14ac:dyDescent="0.25">
      <c r="B117" t="s">
        <v>257</v>
      </c>
      <c r="C117" s="24">
        <f>('Financial Statements'!B18/'Financial Statements'!B8)</f>
        <v>0.30288744395528594</v>
      </c>
      <c r="D117" s="24">
        <f>('Financial Statements'!C18/'Financial Statements'!C8)</f>
        <v>0.29782377527561593</v>
      </c>
      <c r="E117" s="24">
        <f>('Financial Statements'!D18/'Financial Statements'!D8)</f>
        <v>0.24147314354406862</v>
      </c>
    </row>
    <row r="118" spans="2:5" x14ac:dyDescent="0.25">
      <c r="C118" s="24"/>
      <c r="D118" s="24"/>
      <c r="E118" s="24"/>
    </row>
    <row r="119" spans="2:5" x14ac:dyDescent="0.25">
      <c r="C119" s="24"/>
      <c r="D119" s="24"/>
      <c r="E119" s="24"/>
    </row>
    <row r="120" spans="2:5" x14ac:dyDescent="0.25">
      <c r="C120" s="24"/>
      <c r="D120" s="24"/>
      <c r="E120" s="24"/>
    </row>
    <row r="121" spans="2:5" x14ac:dyDescent="0.25">
      <c r="B121" t="s">
        <v>258</v>
      </c>
      <c r="C121" s="24">
        <f>('Financial Statements'!B22/'Financial Statements'!B8)</f>
        <v>0.25309640705199732</v>
      </c>
      <c r="D121" s="24">
        <f>('Financial Statements'!C22/'Financial Statements'!C8)</f>
        <v>0.25881793355694238</v>
      </c>
      <c r="E121" s="24">
        <f>('Financial Statements'!D22/'Financial Statements'!D8)</f>
        <v>0.20913611278072236</v>
      </c>
    </row>
    <row r="122" spans="2:5" x14ac:dyDescent="0.25">
      <c r="C122" s="24"/>
      <c r="D122" s="24"/>
      <c r="E122" s="24"/>
    </row>
    <row r="123" spans="2:5" x14ac:dyDescent="0.25">
      <c r="C123" s="24"/>
      <c r="D123" s="24"/>
      <c r="E123" s="24"/>
    </row>
    <row r="124" spans="2:5" x14ac:dyDescent="0.25">
      <c r="C124" s="24"/>
      <c r="D124" s="24"/>
      <c r="E124" s="24"/>
    </row>
    <row r="125" spans="2:5" x14ac:dyDescent="0.25">
      <c r="B125" t="s">
        <v>259</v>
      </c>
      <c r="C125" s="24">
        <f>('Financial Statements'!B113/'Financial Statements'!B20)</f>
        <v>0.1643367505436471</v>
      </c>
      <c r="D125" s="24">
        <f>('Financial Statements'!C113/'Financial Statements'!C20)</f>
        <v>0.23244846942045841</v>
      </c>
      <c r="E125" s="24">
        <f>('Financial Statements'!D113/'Financial Statements'!D20)</f>
        <v>0.14161362924982487</v>
      </c>
    </row>
    <row r="126" spans="2:5" x14ac:dyDescent="0.25">
      <c r="C126" s="24"/>
      <c r="D126" s="24"/>
      <c r="E126" s="24"/>
    </row>
    <row r="127" spans="2:5" x14ac:dyDescent="0.25">
      <c r="C127" s="24"/>
      <c r="D127" s="24"/>
      <c r="E127" s="24"/>
    </row>
    <row r="128" spans="2:5" x14ac:dyDescent="0.25">
      <c r="C128" s="24"/>
      <c r="D128" s="24"/>
      <c r="E128" s="24"/>
    </row>
    <row r="129" spans="2:5" x14ac:dyDescent="0.25">
      <c r="B129" t="s">
        <v>260</v>
      </c>
      <c r="C129" s="24">
        <f>(-'Financial Statements'!B99/'Financial Statements'!B8)</f>
        <v>5.6688847862692987E-2</v>
      </c>
      <c r="D129" s="24">
        <f>(-'Financial Statements'!C99/'Financial Statements'!C8)</f>
        <v>3.9760317317128507E-2</v>
      </c>
      <c r="E129" s="24">
        <f>(-'Financial Statements'!D99/'Financial Statements'!D8)</f>
        <v>1.5623918547256069E-2</v>
      </c>
    </row>
    <row r="130" spans="2:5" x14ac:dyDescent="0.25">
      <c r="C130" s="24"/>
      <c r="D130" s="24"/>
      <c r="E130" s="24"/>
    </row>
    <row r="131" spans="2:5" x14ac:dyDescent="0.25">
      <c r="C131" s="24"/>
      <c r="D131" s="24"/>
      <c r="E131" s="24"/>
    </row>
    <row r="132" spans="2:5" x14ac:dyDescent="0.25">
      <c r="C132" s="24"/>
      <c r="D132" s="24"/>
      <c r="E132" s="24"/>
    </row>
    <row r="133" spans="2:5" x14ac:dyDescent="0.25">
      <c r="B133" t="s">
        <v>261</v>
      </c>
      <c r="C133" s="24">
        <f>(-'Financial Statements'!B99/'Financial Statements'!B45)</f>
        <v>0.53075955077522141</v>
      </c>
      <c r="D133" s="24">
        <f>(-'Financial Statements'!C99/'Financial Statements'!C45)</f>
        <v>0.36878803245436104</v>
      </c>
      <c r="E133" s="24">
        <f>(-'Financial Statements'!D99/'Financial Statements'!D45)</f>
        <v>0.11665669368438231</v>
      </c>
    </row>
    <row r="134" spans="2:5" x14ac:dyDescent="0.25">
      <c r="C134" s="24"/>
      <c r="D134" s="24"/>
      <c r="E134" s="24"/>
    </row>
    <row r="135" spans="2:5" x14ac:dyDescent="0.25">
      <c r="C135" s="24"/>
      <c r="D135" s="24"/>
      <c r="E135" s="24"/>
    </row>
  </sheetData>
  <mergeCells count="1">
    <mergeCell ref="C2:E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Waqas Albert</cp:lastModifiedBy>
  <dcterms:created xsi:type="dcterms:W3CDTF">2020-05-18T16:32:37Z</dcterms:created>
  <dcterms:modified xsi:type="dcterms:W3CDTF">2024-02-12T15:53:07Z</dcterms:modified>
</cp:coreProperties>
</file>