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B439A924-6061-4665-AD29-CF6EA9FAB322}" xr6:coauthVersionLast="47" xr6:coauthVersionMax="47" xr10:uidLastSave="{00000000-0000-0000-0000-000000000000}"/>
  <bookViews>
    <workbookView xWindow="-108" yWindow="-108" windowWidth="23256" windowHeight="13896" tabRatio="500" activeTab="3" xr2:uid="{00000000-000D-0000-FFFF-FFFF00000000}"/>
  </bookViews>
  <sheets>
    <sheet name="Sheet1" sheetId="1" r:id="rId1"/>
    <sheet name="Historicals" sheetId="2" r:id="rId2"/>
    <sheet name="Segmental forecast" sheetId="3" r:id="rId3"/>
    <sheet name="Three Statements"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D69" i="4" l="1"/>
  <c r="B69" i="4"/>
  <c r="G68" i="4"/>
  <c r="F68" i="4"/>
  <c r="E68" i="4"/>
  <c r="D68" i="4"/>
  <c r="C68" i="4"/>
  <c r="B68" i="4"/>
  <c r="H67" i="4"/>
  <c r="G67" i="4"/>
  <c r="F67" i="4"/>
  <c r="E67" i="4"/>
  <c r="D67" i="4"/>
  <c r="C67" i="4"/>
  <c r="B67" i="4"/>
  <c r="I66" i="4"/>
  <c r="H66" i="4"/>
  <c r="G66" i="4"/>
  <c r="F66" i="4"/>
  <c r="E66" i="4"/>
  <c r="D66" i="4"/>
  <c r="C66" i="4"/>
  <c r="B66" i="4"/>
  <c r="I65" i="4"/>
  <c r="G65" i="4"/>
  <c r="F65" i="4"/>
  <c r="D65" i="4"/>
  <c r="C65" i="4"/>
  <c r="B65" i="4"/>
  <c r="I64" i="4"/>
  <c r="H64" i="4"/>
  <c r="F64" i="4"/>
  <c r="E64" i="4"/>
  <c r="D64" i="4"/>
  <c r="C64" i="4"/>
  <c r="B64" i="4"/>
  <c r="I63" i="4"/>
  <c r="H63" i="4"/>
  <c r="G63" i="4"/>
  <c r="F63" i="4"/>
  <c r="E63" i="4"/>
  <c r="H62" i="4"/>
  <c r="G62" i="4"/>
  <c r="I61" i="4"/>
  <c r="H61" i="4"/>
  <c r="G61" i="4"/>
  <c r="F61" i="4"/>
  <c r="E61" i="4"/>
  <c r="D61" i="4"/>
  <c r="C61" i="4"/>
  <c r="B61" i="4"/>
  <c r="D60" i="4"/>
  <c r="I59" i="4"/>
  <c r="H59" i="4"/>
  <c r="G59" i="4"/>
  <c r="F59" i="4"/>
  <c r="E59" i="4"/>
  <c r="E60" i="4" s="1"/>
  <c r="D59" i="4"/>
  <c r="C59" i="4"/>
  <c r="C60" i="4" s="1"/>
  <c r="B59" i="4"/>
  <c r="I58" i="4"/>
  <c r="H58" i="4"/>
  <c r="G58" i="4"/>
  <c r="F58" i="4"/>
  <c r="D58" i="4"/>
  <c r="C58" i="4"/>
  <c r="B58" i="4"/>
  <c r="I57" i="4"/>
  <c r="E57" i="4"/>
  <c r="D57" i="4"/>
  <c r="I55" i="4"/>
  <c r="H55" i="4"/>
  <c r="G55" i="4"/>
  <c r="F55" i="4"/>
  <c r="F53" i="4" s="1"/>
  <c r="E55" i="4"/>
  <c r="E53" i="4" s="1"/>
  <c r="D55" i="4"/>
  <c r="C55" i="4"/>
  <c r="B55" i="4"/>
  <c r="I53" i="4"/>
  <c r="H53" i="4"/>
  <c r="G53" i="4"/>
  <c r="I52" i="4"/>
  <c r="H52" i="4"/>
  <c r="G52" i="4"/>
  <c r="F52" i="4"/>
  <c r="E52" i="4"/>
  <c r="D52" i="4"/>
  <c r="C52" i="4"/>
  <c r="B52" i="4"/>
  <c r="I51" i="4"/>
  <c r="H51" i="4"/>
  <c r="G51" i="4"/>
  <c r="F51" i="4"/>
  <c r="E51" i="4"/>
  <c r="D51" i="4"/>
  <c r="C51" i="4"/>
  <c r="B51" i="4"/>
  <c r="I49" i="4"/>
  <c r="H49" i="4"/>
  <c r="G49" i="4"/>
  <c r="F49" i="4"/>
  <c r="E49" i="4"/>
  <c r="D49" i="4"/>
  <c r="C49" i="4"/>
  <c r="B49" i="4"/>
  <c r="I47" i="4"/>
  <c r="H47" i="4"/>
  <c r="G47" i="4"/>
  <c r="F47" i="4"/>
  <c r="E47" i="4"/>
  <c r="D47" i="4"/>
  <c r="C47" i="4"/>
  <c r="B47" i="4"/>
  <c r="I42" i="4"/>
  <c r="H42" i="4"/>
  <c r="G42" i="4"/>
  <c r="F42" i="4"/>
  <c r="E42" i="4"/>
  <c r="D42" i="4"/>
  <c r="C42" i="4"/>
  <c r="B42" i="4"/>
  <c r="I41" i="4"/>
  <c r="H41" i="4"/>
  <c r="G41" i="4"/>
  <c r="F41" i="4"/>
  <c r="E41" i="4"/>
  <c r="D41" i="4"/>
  <c r="C41" i="4"/>
  <c r="B41" i="4"/>
  <c r="I40" i="4"/>
  <c r="H40" i="4"/>
  <c r="G40" i="4"/>
  <c r="F40" i="4"/>
  <c r="E40" i="4"/>
  <c r="D40" i="4"/>
  <c r="C40" i="4"/>
  <c r="B40" i="4"/>
  <c r="I38" i="4"/>
  <c r="H38" i="4"/>
  <c r="G38" i="4"/>
  <c r="F38" i="4"/>
  <c r="E38" i="4"/>
  <c r="D38" i="4"/>
  <c r="C38" i="4"/>
  <c r="B38" i="4"/>
  <c r="I37" i="4"/>
  <c r="H37" i="4"/>
  <c r="G37" i="4"/>
  <c r="F37" i="4"/>
  <c r="E37" i="4"/>
  <c r="D37" i="4"/>
  <c r="C37" i="4"/>
  <c r="B37" i="4"/>
  <c r="I36" i="4"/>
  <c r="H36" i="4"/>
  <c r="G36" i="4"/>
  <c r="F36" i="4"/>
  <c r="E36" i="4"/>
  <c r="D36" i="4"/>
  <c r="C36" i="4"/>
  <c r="B36" i="4"/>
  <c r="I35" i="4"/>
  <c r="I69" i="4" s="1"/>
  <c r="H35" i="4"/>
  <c r="H69" i="4" s="1"/>
  <c r="G35" i="4"/>
  <c r="F35" i="4"/>
  <c r="F69" i="4" s="1"/>
  <c r="E35" i="4"/>
  <c r="E69" i="4" s="1"/>
  <c r="D35" i="4"/>
  <c r="C35" i="4"/>
  <c r="C69" i="4" s="1"/>
  <c r="B35" i="4"/>
  <c r="I34" i="4"/>
  <c r="H34" i="4"/>
  <c r="G34" i="4"/>
  <c r="F34" i="4"/>
  <c r="E34" i="4"/>
  <c r="E43" i="4" s="1"/>
  <c r="D34" i="4"/>
  <c r="C34" i="4"/>
  <c r="B34" i="4"/>
  <c r="I33" i="4"/>
  <c r="H33" i="4"/>
  <c r="G33" i="4"/>
  <c r="G43" i="4" s="1"/>
  <c r="F33" i="4"/>
  <c r="F43" i="4" s="1"/>
  <c r="E33" i="4"/>
  <c r="D33" i="4"/>
  <c r="C33" i="4"/>
  <c r="C43" i="4" s="1"/>
  <c r="B33" i="4"/>
  <c r="B43" i="4" s="1"/>
  <c r="I30" i="4"/>
  <c r="H30" i="4"/>
  <c r="G30" i="4"/>
  <c r="F30" i="4"/>
  <c r="E30" i="4"/>
  <c r="D30" i="4"/>
  <c r="C30" i="4"/>
  <c r="B30"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D26" i="4"/>
  <c r="D53" i="4" s="1"/>
  <c r="C26" i="4"/>
  <c r="B26" i="4"/>
  <c r="I25" i="4"/>
  <c r="H25" i="4"/>
  <c r="G25" i="4"/>
  <c r="F25" i="4"/>
  <c r="E25" i="4"/>
  <c r="D25" i="4"/>
  <c r="C25" i="4"/>
  <c r="B25" i="4"/>
  <c r="I22" i="4"/>
  <c r="H22" i="4"/>
  <c r="G22" i="4"/>
  <c r="F22" i="4"/>
  <c r="E22" i="4"/>
  <c r="D22" i="4"/>
  <c r="C22" i="4"/>
  <c r="B22" i="4"/>
  <c r="I21" i="4"/>
  <c r="H21" i="4"/>
  <c r="G21" i="4"/>
  <c r="F21" i="4"/>
  <c r="E21" i="4"/>
  <c r="D21" i="4"/>
  <c r="C21" i="4"/>
  <c r="B21" i="4"/>
  <c r="C19" i="4"/>
  <c r="E18" i="4"/>
  <c r="D18" i="4"/>
  <c r="C18" i="4"/>
  <c r="I17" i="4"/>
  <c r="I18" i="4" s="1"/>
  <c r="H17" i="4"/>
  <c r="G17" i="4"/>
  <c r="F17" i="4"/>
  <c r="E17" i="4"/>
  <c r="D17" i="4"/>
  <c r="C17" i="4"/>
  <c r="B17" i="4"/>
  <c r="I16" i="4"/>
  <c r="H16" i="4"/>
  <c r="G16" i="4"/>
  <c r="F16" i="4"/>
  <c r="E16" i="4"/>
  <c r="E19" i="4" s="1"/>
  <c r="D16" i="4"/>
  <c r="D19" i="4" s="1"/>
  <c r="C16" i="4"/>
  <c r="B16" i="4"/>
  <c r="I15" i="4"/>
  <c r="H15" i="4"/>
  <c r="G15" i="4"/>
  <c r="F15" i="4"/>
  <c r="E15" i="4"/>
  <c r="D15" i="4"/>
  <c r="C15" i="4"/>
  <c r="B15" i="4"/>
  <c r="I12" i="4"/>
  <c r="H12" i="4"/>
  <c r="G12" i="4"/>
  <c r="F12" i="4"/>
  <c r="E12" i="4"/>
  <c r="D12" i="4"/>
  <c r="C12" i="4"/>
  <c r="B12" i="4"/>
  <c r="I10" i="4"/>
  <c r="H10" i="4"/>
  <c r="G10" i="4"/>
  <c r="F10" i="4"/>
  <c r="E10" i="4"/>
  <c r="D10" i="4"/>
  <c r="C10" i="4"/>
  <c r="B10" i="4"/>
  <c r="B8" i="4"/>
  <c r="B4" i="4"/>
  <c r="J1" i="4"/>
  <c r="K1" i="4" s="1"/>
  <c r="L1" i="4" s="1"/>
  <c r="M1" i="4" s="1"/>
  <c r="N1" i="4" s="1"/>
  <c r="H1" i="4"/>
  <c r="G1" i="4" s="1"/>
  <c r="F1" i="4" s="1"/>
  <c r="E1" i="4" s="1"/>
  <c r="D1" i="4" s="1"/>
  <c r="C1" i="4" s="1"/>
  <c r="B1" i="4" s="1"/>
  <c r="H209" i="3"/>
  <c r="G209" i="3"/>
  <c r="I208" i="3"/>
  <c r="H208" i="3"/>
  <c r="G208" i="3"/>
  <c r="F208" i="3"/>
  <c r="E208" i="3"/>
  <c r="D208" i="3"/>
  <c r="C208" i="3"/>
  <c r="L207" i="3"/>
  <c r="L209" i="3" s="1"/>
  <c r="J207" i="3"/>
  <c r="K207" i="3" s="1"/>
  <c r="B204" i="3"/>
  <c r="I197" i="3"/>
  <c r="J196" i="3"/>
  <c r="K196" i="3" s="1"/>
  <c r="L196" i="3" s="1"/>
  <c r="M196" i="3" s="1"/>
  <c r="N196" i="3" s="1"/>
  <c r="I196" i="3"/>
  <c r="I209" i="3" s="1"/>
  <c r="H196" i="3"/>
  <c r="G196" i="3"/>
  <c r="F196" i="3"/>
  <c r="F209" i="3" s="1"/>
  <c r="E196" i="3"/>
  <c r="E209" i="3" s="1"/>
  <c r="D196" i="3"/>
  <c r="D209" i="3" s="1"/>
  <c r="C196" i="3"/>
  <c r="C209" i="3" s="1"/>
  <c r="B196" i="3"/>
  <c r="B209" i="3" s="1"/>
  <c r="H194" i="3"/>
  <c r="G194" i="3"/>
  <c r="G193" i="3"/>
  <c r="M192" i="3"/>
  <c r="K192" i="3"/>
  <c r="L192" i="3" s="1"/>
  <c r="J192" i="3"/>
  <c r="I192" i="3"/>
  <c r="I193" i="3" s="1"/>
  <c r="H192" i="3"/>
  <c r="G192" i="3"/>
  <c r="F192" i="3"/>
  <c r="E192" i="3"/>
  <c r="E194" i="3" s="1"/>
  <c r="D192" i="3"/>
  <c r="C192" i="3"/>
  <c r="B192" i="3"/>
  <c r="B194" i="3" s="1"/>
  <c r="H191" i="3"/>
  <c r="G191" i="3"/>
  <c r="F191" i="3"/>
  <c r="E191" i="3"/>
  <c r="B191" i="3"/>
  <c r="I190" i="3"/>
  <c r="H190" i="3"/>
  <c r="G190" i="3"/>
  <c r="F190" i="3"/>
  <c r="E190" i="3"/>
  <c r="D190" i="3"/>
  <c r="C190" i="3"/>
  <c r="J189" i="3"/>
  <c r="H188" i="3"/>
  <c r="G188" i="3"/>
  <c r="D187" i="3"/>
  <c r="K186" i="3"/>
  <c r="I186" i="3"/>
  <c r="J186" i="3" s="1"/>
  <c r="H186" i="3"/>
  <c r="H187" i="3" s="1"/>
  <c r="G186" i="3"/>
  <c r="G187" i="3" s="1"/>
  <c r="F186" i="3"/>
  <c r="F187" i="3" s="1"/>
  <c r="E186" i="3"/>
  <c r="D186" i="3"/>
  <c r="C186" i="3"/>
  <c r="B186" i="3"/>
  <c r="F185" i="3"/>
  <c r="E185" i="3"/>
  <c r="B185" i="3"/>
  <c r="G184" i="3"/>
  <c r="D184" i="3"/>
  <c r="B184" i="3"/>
  <c r="I183" i="3"/>
  <c r="J182" i="3"/>
  <c r="I182" i="3"/>
  <c r="H182" i="3"/>
  <c r="H183" i="3" s="1"/>
  <c r="G182" i="3"/>
  <c r="G183" i="3" s="1"/>
  <c r="F182" i="3"/>
  <c r="F183" i="3" s="1"/>
  <c r="E182" i="3"/>
  <c r="E183" i="3" s="1"/>
  <c r="D182" i="3"/>
  <c r="D183" i="3" s="1"/>
  <c r="C182" i="3"/>
  <c r="C184" i="3" s="1"/>
  <c r="B182" i="3"/>
  <c r="I180" i="3"/>
  <c r="H180" i="3"/>
  <c r="I179" i="3"/>
  <c r="H179" i="3"/>
  <c r="G179" i="3"/>
  <c r="F179" i="3"/>
  <c r="I178" i="3"/>
  <c r="D178" i="3"/>
  <c r="I177" i="3"/>
  <c r="H177" i="3"/>
  <c r="H184" i="3" s="1"/>
  <c r="G177" i="3"/>
  <c r="F177" i="3"/>
  <c r="E177" i="3"/>
  <c r="E184" i="3" s="1"/>
  <c r="D177" i="3"/>
  <c r="D191" i="3" s="1"/>
  <c r="C177" i="3"/>
  <c r="C191" i="3" s="1"/>
  <c r="B177" i="3"/>
  <c r="G175" i="3"/>
  <c r="F175" i="3"/>
  <c r="F174" i="3"/>
  <c r="D174" i="3"/>
  <c r="L173" i="3"/>
  <c r="J173" i="3"/>
  <c r="K173" i="3" s="1"/>
  <c r="I173" i="3"/>
  <c r="I174" i="3" s="1"/>
  <c r="H173" i="3"/>
  <c r="H174" i="3" s="1"/>
  <c r="G173" i="3"/>
  <c r="F173" i="3"/>
  <c r="E173" i="3"/>
  <c r="D173" i="3"/>
  <c r="C173" i="3"/>
  <c r="B173" i="3"/>
  <c r="B166" i="3" s="1"/>
  <c r="G172" i="3"/>
  <c r="F172" i="3"/>
  <c r="I171" i="3"/>
  <c r="H171" i="3"/>
  <c r="G171" i="3"/>
  <c r="F171" i="3"/>
  <c r="E171" i="3"/>
  <c r="D171" i="3"/>
  <c r="C171" i="3"/>
  <c r="J170" i="3"/>
  <c r="G169" i="3"/>
  <c r="F169" i="3"/>
  <c r="B169" i="3"/>
  <c r="D168" i="3"/>
  <c r="J167" i="3"/>
  <c r="I167" i="3"/>
  <c r="I168" i="3" s="1"/>
  <c r="H167" i="3"/>
  <c r="H168" i="3" s="1"/>
  <c r="G167" i="3"/>
  <c r="G168" i="3" s="1"/>
  <c r="F167" i="3"/>
  <c r="F168" i="3" s="1"/>
  <c r="E167" i="3"/>
  <c r="D167" i="3"/>
  <c r="C167" i="3"/>
  <c r="B167" i="3"/>
  <c r="D166" i="3"/>
  <c r="F165" i="3"/>
  <c r="B165" i="3"/>
  <c r="I164" i="3"/>
  <c r="H164" i="3"/>
  <c r="J163" i="3"/>
  <c r="I163" i="3"/>
  <c r="H163" i="3"/>
  <c r="G163" i="3"/>
  <c r="G164" i="3" s="1"/>
  <c r="F163" i="3"/>
  <c r="F164" i="3" s="1"/>
  <c r="E163" i="3"/>
  <c r="E164" i="3" s="1"/>
  <c r="D163" i="3"/>
  <c r="D164" i="3" s="1"/>
  <c r="C163" i="3"/>
  <c r="B163" i="3"/>
  <c r="J160" i="3"/>
  <c r="I160" i="3"/>
  <c r="G160" i="3"/>
  <c r="G162" i="3" s="1"/>
  <c r="F160" i="3"/>
  <c r="E160" i="3"/>
  <c r="I158" i="3"/>
  <c r="B158" i="3"/>
  <c r="E157" i="3"/>
  <c r="D157" i="3"/>
  <c r="D159" i="3" s="1"/>
  <c r="I156" i="3"/>
  <c r="H156" i="3"/>
  <c r="G156" i="3"/>
  <c r="F156" i="3"/>
  <c r="F157" i="3" s="1"/>
  <c r="F159" i="3" s="1"/>
  <c r="E156" i="3"/>
  <c r="D156" i="3"/>
  <c r="C156" i="3"/>
  <c r="C157" i="3" s="1"/>
  <c r="B156" i="3"/>
  <c r="I154" i="3"/>
  <c r="G154" i="3"/>
  <c r="I153" i="3"/>
  <c r="I155" i="3" s="1"/>
  <c r="E153" i="3"/>
  <c r="E155" i="3" s="1"/>
  <c r="I152" i="3"/>
  <c r="J152" i="3" s="1"/>
  <c r="K152" i="3" s="1"/>
  <c r="L152" i="3" s="1"/>
  <c r="M152" i="3" s="1"/>
  <c r="N152" i="3" s="1"/>
  <c r="H152" i="3"/>
  <c r="G152" i="3"/>
  <c r="F152" i="3"/>
  <c r="E152" i="3"/>
  <c r="D152" i="3"/>
  <c r="C152" i="3"/>
  <c r="C153" i="3" s="1"/>
  <c r="B152" i="3"/>
  <c r="D151" i="3"/>
  <c r="I150" i="3"/>
  <c r="F149" i="3"/>
  <c r="E149" i="3"/>
  <c r="I148" i="3"/>
  <c r="J148" i="3" s="1"/>
  <c r="H148" i="3"/>
  <c r="G148" i="3"/>
  <c r="G149" i="3" s="1"/>
  <c r="F148" i="3"/>
  <c r="E148" i="3"/>
  <c r="D148" i="3"/>
  <c r="D149" i="3" s="1"/>
  <c r="C148" i="3"/>
  <c r="B148" i="3"/>
  <c r="I147" i="3"/>
  <c r="B147" i="3"/>
  <c r="G146" i="3"/>
  <c r="G165" i="3" s="1"/>
  <c r="F146" i="3"/>
  <c r="E146" i="3"/>
  <c r="D146" i="3"/>
  <c r="C146" i="3"/>
  <c r="B146" i="3"/>
  <c r="B172" i="3" s="1"/>
  <c r="I142" i="3"/>
  <c r="H142" i="3"/>
  <c r="H17" i="3" s="1"/>
  <c r="G142" i="3"/>
  <c r="G143" i="3" s="1"/>
  <c r="F142" i="3"/>
  <c r="F143" i="3" s="1"/>
  <c r="E142" i="3"/>
  <c r="E143" i="3" s="1"/>
  <c r="D142" i="3"/>
  <c r="D143" i="3" s="1"/>
  <c r="C142" i="3"/>
  <c r="B142" i="3"/>
  <c r="I140" i="3"/>
  <c r="H140" i="3"/>
  <c r="G140" i="3"/>
  <c r="F140" i="3"/>
  <c r="E140" i="3"/>
  <c r="D140" i="3"/>
  <c r="C140" i="3"/>
  <c r="J139" i="3"/>
  <c r="I136" i="3"/>
  <c r="H136" i="3"/>
  <c r="G136" i="3"/>
  <c r="F136" i="3"/>
  <c r="E136" i="3"/>
  <c r="E137" i="3" s="1"/>
  <c r="D136" i="3"/>
  <c r="D137" i="3" s="1"/>
  <c r="C136" i="3"/>
  <c r="C137" i="3" s="1"/>
  <c r="B136" i="3"/>
  <c r="I133" i="3"/>
  <c r="H133" i="3"/>
  <c r="G133" i="3"/>
  <c r="I132" i="3"/>
  <c r="J132" i="3" s="1"/>
  <c r="H132" i="3"/>
  <c r="G132" i="3"/>
  <c r="F132" i="3"/>
  <c r="E132" i="3"/>
  <c r="D132" i="3"/>
  <c r="C132" i="3"/>
  <c r="C133" i="3" s="1"/>
  <c r="B132" i="3"/>
  <c r="E129" i="3"/>
  <c r="C129" i="3"/>
  <c r="B129" i="3"/>
  <c r="I127" i="3"/>
  <c r="I123" i="3"/>
  <c r="C123" i="3"/>
  <c r="E122" i="3"/>
  <c r="E124" i="3" s="1"/>
  <c r="I121" i="3"/>
  <c r="H121" i="3"/>
  <c r="H122" i="3" s="1"/>
  <c r="G121" i="3"/>
  <c r="G122" i="3" s="1"/>
  <c r="F121" i="3"/>
  <c r="F122" i="3" s="1"/>
  <c r="E121" i="3"/>
  <c r="D121" i="3"/>
  <c r="C121" i="3"/>
  <c r="C122" i="3" s="1"/>
  <c r="B121" i="3"/>
  <c r="I119" i="3"/>
  <c r="H118" i="3"/>
  <c r="H120" i="3" s="1"/>
  <c r="D118" i="3"/>
  <c r="D120" i="3" s="1"/>
  <c r="J117" i="3"/>
  <c r="K117" i="3" s="1"/>
  <c r="I117" i="3"/>
  <c r="H117" i="3"/>
  <c r="G117" i="3"/>
  <c r="G118" i="3" s="1"/>
  <c r="G120" i="3" s="1"/>
  <c r="F117" i="3"/>
  <c r="F118" i="3" s="1"/>
  <c r="E117" i="3"/>
  <c r="E118" i="3" s="1"/>
  <c r="D117" i="3"/>
  <c r="C117" i="3"/>
  <c r="B117" i="3"/>
  <c r="B115" i="3" s="1"/>
  <c r="I116" i="3"/>
  <c r="I111" i="3"/>
  <c r="I112" i="3" s="1"/>
  <c r="H111" i="3"/>
  <c r="G111" i="3"/>
  <c r="F111" i="3"/>
  <c r="E111" i="3"/>
  <c r="D111" i="3"/>
  <c r="C111" i="3"/>
  <c r="C112" i="3" s="1"/>
  <c r="B111" i="3"/>
  <c r="I109" i="3"/>
  <c r="H109" i="3"/>
  <c r="G109" i="3"/>
  <c r="F109" i="3"/>
  <c r="E109" i="3"/>
  <c r="D109" i="3"/>
  <c r="C109" i="3"/>
  <c r="M108" i="3"/>
  <c r="K108" i="3"/>
  <c r="L108" i="3" s="1"/>
  <c r="J108" i="3"/>
  <c r="H106" i="3"/>
  <c r="G106" i="3"/>
  <c r="E106" i="3"/>
  <c r="L105" i="3"/>
  <c r="M105" i="3" s="1"/>
  <c r="I105" i="3"/>
  <c r="J105" i="3" s="1"/>
  <c r="K105" i="3" s="1"/>
  <c r="H105" i="3"/>
  <c r="G105" i="3"/>
  <c r="F105" i="3"/>
  <c r="E105" i="3"/>
  <c r="D105" i="3"/>
  <c r="D98" i="3" s="1"/>
  <c r="C105" i="3"/>
  <c r="B105" i="3"/>
  <c r="H104" i="3"/>
  <c r="F104" i="3"/>
  <c r="E104" i="3"/>
  <c r="I102" i="3"/>
  <c r="I101" i="3"/>
  <c r="H101" i="3"/>
  <c r="H102" i="3" s="1"/>
  <c r="G101" i="3"/>
  <c r="G102" i="3" s="1"/>
  <c r="F101" i="3"/>
  <c r="E101" i="3"/>
  <c r="D101" i="3"/>
  <c r="C101" i="3"/>
  <c r="C104" i="3" s="1"/>
  <c r="B101" i="3"/>
  <c r="G99" i="3"/>
  <c r="I98" i="3"/>
  <c r="H98" i="3"/>
  <c r="G98" i="3"/>
  <c r="F98" i="3"/>
  <c r="E98" i="3"/>
  <c r="B98" i="3"/>
  <c r="I95" i="3"/>
  <c r="I94" i="3"/>
  <c r="I96" i="3" s="1"/>
  <c r="H94" i="3"/>
  <c r="G94" i="3"/>
  <c r="K93" i="3"/>
  <c r="L93" i="3" s="1"/>
  <c r="M93" i="3" s="1"/>
  <c r="N93" i="3" s="1"/>
  <c r="J93" i="3"/>
  <c r="I93" i="3"/>
  <c r="H93" i="3"/>
  <c r="G93" i="3"/>
  <c r="F93" i="3"/>
  <c r="E93" i="3"/>
  <c r="D93" i="3"/>
  <c r="C93" i="3"/>
  <c r="C94" i="3" s="1"/>
  <c r="B93" i="3"/>
  <c r="G92" i="3"/>
  <c r="F92" i="3"/>
  <c r="I91" i="3"/>
  <c r="H91" i="3"/>
  <c r="G91" i="3"/>
  <c r="G90" i="3"/>
  <c r="F90" i="3"/>
  <c r="E90" i="3"/>
  <c r="E92" i="3" s="1"/>
  <c r="I89" i="3"/>
  <c r="H89" i="3"/>
  <c r="G89" i="3"/>
  <c r="F89" i="3"/>
  <c r="E89" i="3"/>
  <c r="D89" i="3"/>
  <c r="C89" i="3"/>
  <c r="C90" i="3" s="1"/>
  <c r="B89" i="3"/>
  <c r="D88" i="3"/>
  <c r="I87" i="3"/>
  <c r="C87" i="3"/>
  <c r="I86" i="3"/>
  <c r="I88" i="3" s="1"/>
  <c r="E86" i="3"/>
  <c r="E88" i="3" s="1"/>
  <c r="D86" i="3"/>
  <c r="I85" i="3"/>
  <c r="H85" i="3"/>
  <c r="G85" i="3"/>
  <c r="F85" i="3"/>
  <c r="F86" i="3" s="1"/>
  <c r="F88" i="3" s="1"/>
  <c r="E85" i="3"/>
  <c r="D85" i="3"/>
  <c r="C85" i="3"/>
  <c r="B85" i="3"/>
  <c r="I84" i="3"/>
  <c r="E83" i="3"/>
  <c r="E110" i="3" s="1"/>
  <c r="C83" i="3"/>
  <c r="C103" i="3" s="1"/>
  <c r="I81" i="3"/>
  <c r="D81" i="3"/>
  <c r="I79" i="3"/>
  <c r="J79" i="3" s="1"/>
  <c r="H79" i="3"/>
  <c r="G79" i="3"/>
  <c r="G80" i="3" s="1"/>
  <c r="F79" i="3"/>
  <c r="F80" i="3" s="1"/>
  <c r="E79" i="3"/>
  <c r="E80" i="3" s="1"/>
  <c r="D79" i="3"/>
  <c r="C79" i="3"/>
  <c r="B79" i="3"/>
  <c r="B72" i="3" s="1"/>
  <c r="I78" i="3"/>
  <c r="I77" i="3"/>
  <c r="H77" i="3"/>
  <c r="G77" i="3"/>
  <c r="F77" i="3"/>
  <c r="E77" i="3"/>
  <c r="D77" i="3"/>
  <c r="C77" i="3"/>
  <c r="J76" i="3"/>
  <c r="K76" i="3" s="1"/>
  <c r="I74" i="3"/>
  <c r="H74" i="3"/>
  <c r="G74" i="3"/>
  <c r="F74" i="3"/>
  <c r="J73" i="3"/>
  <c r="I73" i="3"/>
  <c r="H73" i="3"/>
  <c r="G73" i="3"/>
  <c r="F73" i="3"/>
  <c r="E73" i="3"/>
  <c r="E74" i="3" s="1"/>
  <c r="D73" i="3"/>
  <c r="D74" i="3" s="1"/>
  <c r="C73" i="3"/>
  <c r="C75" i="3" s="1"/>
  <c r="B73" i="3"/>
  <c r="G72" i="3"/>
  <c r="D72" i="3"/>
  <c r="C72" i="3"/>
  <c r="C71" i="3"/>
  <c r="G70" i="3"/>
  <c r="E70" i="3"/>
  <c r="D70" i="3"/>
  <c r="J69" i="3"/>
  <c r="I69" i="3"/>
  <c r="H69" i="3"/>
  <c r="G69" i="3"/>
  <c r="F69" i="3"/>
  <c r="E69" i="3"/>
  <c r="F70" i="3" s="1"/>
  <c r="D69" i="3"/>
  <c r="C69" i="3"/>
  <c r="C70" i="3" s="1"/>
  <c r="B69" i="3"/>
  <c r="I68" i="3"/>
  <c r="I66" i="3"/>
  <c r="H66" i="3"/>
  <c r="G66" i="3"/>
  <c r="C66" i="3"/>
  <c r="C68" i="3" s="1"/>
  <c r="B66" i="3"/>
  <c r="I64" i="3"/>
  <c r="H64" i="3"/>
  <c r="D64" i="3"/>
  <c r="I63" i="3"/>
  <c r="I65" i="3" s="1"/>
  <c r="H63" i="3"/>
  <c r="E63" i="3"/>
  <c r="E65" i="3" s="1"/>
  <c r="D63" i="3"/>
  <c r="N62" i="3"/>
  <c r="I62" i="3"/>
  <c r="J62" i="3" s="1"/>
  <c r="K62" i="3" s="1"/>
  <c r="L62" i="3" s="1"/>
  <c r="M62" i="3" s="1"/>
  <c r="H62" i="3"/>
  <c r="G62" i="3"/>
  <c r="F62" i="3"/>
  <c r="F63" i="3" s="1"/>
  <c r="E62" i="3"/>
  <c r="D62" i="3"/>
  <c r="C62" i="3"/>
  <c r="I60" i="3"/>
  <c r="C59" i="3"/>
  <c r="I58" i="3"/>
  <c r="J58" i="3" s="1"/>
  <c r="K58" i="3" s="1"/>
  <c r="L58" i="3" s="1"/>
  <c r="H58" i="3"/>
  <c r="G58" i="3"/>
  <c r="F58" i="3"/>
  <c r="F59" i="3" s="1"/>
  <c r="E58" i="3"/>
  <c r="E59" i="3" s="1"/>
  <c r="D58" i="3"/>
  <c r="C58" i="3"/>
  <c r="D59" i="3" s="1"/>
  <c r="I57" i="3"/>
  <c r="I56" i="3"/>
  <c r="H56" i="3"/>
  <c r="G56" i="3"/>
  <c r="B56" i="3"/>
  <c r="D55" i="3"/>
  <c r="M54" i="3"/>
  <c r="N54" i="3" s="1"/>
  <c r="J54" i="3"/>
  <c r="K54" i="3" s="1"/>
  <c r="L54" i="3" s="1"/>
  <c r="I54" i="3"/>
  <c r="I55" i="3" s="1"/>
  <c r="H54" i="3"/>
  <c r="G54" i="3"/>
  <c r="F54" i="3"/>
  <c r="E54" i="3"/>
  <c r="D54" i="3"/>
  <c r="D52" i="3" s="1"/>
  <c r="D78" i="3" s="1"/>
  <c r="C54" i="3"/>
  <c r="C52" i="3" s="1"/>
  <c r="C78" i="3" s="1"/>
  <c r="I53" i="3"/>
  <c r="B53" i="3"/>
  <c r="K52" i="3"/>
  <c r="J52" i="3"/>
  <c r="J78" i="3" s="1"/>
  <c r="I52" i="3"/>
  <c r="I50" i="3"/>
  <c r="J50" i="3" s="1"/>
  <c r="F49" i="3"/>
  <c r="B49" i="3"/>
  <c r="I48" i="3"/>
  <c r="H48" i="3"/>
  <c r="G48" i="3"/>
  <c r="F48" i="3"/>
  <c r="E48" i="3"/>
  <c r="E49" i="3" s="1"/>
  <c r="D48" i="3"/>
  <c r="C48" i="3"/>
  <c r="B48" i="3"/>
  <c r="B50" i="3" s="1"/>
  <c r="I47" i="3"/>
  <c r="J47" i="3" s="1"/>
  <c r="K47" i="3" s="1"/>
  <c r="L47" i="3" s="1"/>
  <c r="M47" i="3" s="1"/>
  <c r="N47" i="3" s="1"/>
  <c r="H47" i="3"/>
  <c r="C47" i="3"/>
  <c r="I46" i="3"/>
  <c r="D46" i="3"/>
  <c r="I45" i="3"/>
  <c r="H45" i="3"/>
  <c r="H46" i="3" s="1"/>
  <c r="G45" i="3"/>
  <c r="G47" i="3" s="1"/>
  <c r="F45" i="3"/>
  <c r="E45" i="3"/>
  <c r="D45" i="3"/>
  <c r="D14" i="3" s="1"/>
  <c r="C45" i="3"/>
  <c r="B45" i="3"/>
  <c r="C46" i="3" s="1"/>
  <c r="F44" i="3"/>
  <c r="E44" i="3"/>
  <c r="I43" i="3"/>
  <c r="F43" i="3"/>
  <c r="I42" i="3"/>
  <c r="I35" i="3" s="1"/>
  <c r="H42" i="3"/>
  <c r="G42" i="3"/>
  <c r="F42" i="3"/>
  <c r="E42" i="3"/>
  <c r="D42" i="3"/>
  <c r="C42" i="3"/>
  <c r="C35" i="3" s="1"/>
  <c r="B42" i="3"/>
  <c r="B43" i="3" s="1"/>
  <c r="I41" i="3"/>
  <c r="J41" i="3" s="1"/>
  <c r="H41" i="3"/>
  <c r="D41" i="3"/>
  <c r="D40" i="3"/>
  <c r="C40" i="3"/>
  <c r="H39" i="3"/>
  <c r="D39" i="3"/>
  <c r="I38" i="3"/>
  <c r="I40" i="3" s="1"/>
  <c r="H38" i="3"/>
  <c r="G38" i="3"/>
  <c r="G40" i="3" s="1"/>
  <c r="F38" i="3"/>
  <c r="E38" i="3"/>
  <c r="D38" i="3"/>
  <c r="C38" i="3"/>
  <c r="B38" i="3"/>
  <c r="L34" i="3"/>
  <c r="M34" i="3" s="1"/>
  <c r="N34" i="3" s="1"/>
  <c r="K34" i="3"/>
  <c r="K33" i="3"/>
  <c r="L33" i="3" s="1"/>
  <c r="M33" i="3" s="1"/>
  <c r="N33" i="3" s="1"/>
  <c r="N32" i="3" s="1"/>
  <c r="I33" i="3"/>
  <c r="H33" i="3"/>
  <c r="K32" i="3"/>
  <c r="J32" i="3"/>
  <c r="I32" i="3"/>
  <c r="I34" i="3" s="1"/>
  <c r="D32" i="3"/>
  <c r="D34" i="3" s="1"/>
  <c r="C32" i="3"/>
  <c r="C34" i="3" s="1"/>
  <c r="J31" i="3"/>
  <c r="K31" i="3" s="1"/>
  <c r="I31" i="3"/>
  <c r="H31" i="3"/>
  <c r="G31" i="3"/>
  <c r="F31" i="3"/>
  <c r="F32" i="3" s="1"/>
  <c r="E31" i="3"/>
  <c r="D31" i="3"/>
  <c r="C31" i="3"/>
  <c r="B31" i="3"/>
  <c r="B32" i="3" s="1"/>
  <c r="L30" i="3"/>
  <c r="L28" i="3" s="1"/>
  <c r="K30" i="3"/>
  <c r="M29" i="3"/>
  <c r="L29" i="3"/>
  <c r="K29" i="3"/>
  <c r="I29" i="3"/>
  <c r="G29" i="3"/>
  <c r="F29" i="3"/>
  <c r="E29" i="3"/>
  <c r="K28" i="3"/>
  <c r="J28" i="3"/>
  <c r="G28" i="3"/>
  <c r="G30" i="3" s="1"/>
  <c r="F28" i="3"/>
  <c r="I27" i="3"/>
  <c r="H27" i="3"/>
  <c r="H28" i="3" s="1"/>
  <c r="H30" i="3" s="1"/>
  <c r="G27" i="3"/>
  <c r="F27" i="3"/>
  <c r="E27" i="3"/>
  <c r="D27" i="3"/>
  <c r="C27" i="3"/>
  <c r="C28" i="3" s="1"/>
  <c r="C30" i="3" s="1"/>
  <c r="B27" i="3"/>
  <c r="B28" i="3" s="1"/>
  <c r="K26" i="3"/>
  <c r="L26" i="3" s="1"/>
  <c r="M26" i="3" s="1"/>
  <c r="N26" i="3" s="1"/>
  <c r="G26" i="3"/>
  <c r="M25" i="3"/>
  <c r="M24" i="3" s="1"/>
  <c r="K25" i="3"/>
  <c r="L25" i="3" s="1"/>
  <c r="I25" i="3"/>
  <c r="F25" i="3"/>
  <c r="D25" i="3"/>
  <c r="K24" i="3"/>
  <c r="J24" i="3"/>
  <c r="E24" i="3"/>
  <c r="E26" i="3" s="1"/>
  <c r="D24" i="3"/>
  <c r="I23" i="3"/>
  <c r="I24" i="3" s="1"/>
  <c r="I26" i="3" s="1"/>
  <c r="H23" i="3"/>
  <c r="G23" i="3"/>
  <c r="H24" i="3" s="1"/>
  <c r="H26" i="3" s="1"/>
  <c r="F23" i="3"/>
  <c r="G24" i="3" s="1"/>
  <c r="E23" i="3"/>
  <c r="F24" i="3" s="1"/>
  <c r="D23" i="3"/>
  <c r="C23" i="3"/>
  <c r="C24" i="3" s="1"/>
  <c r="B23" i="3"/>
  <c r="B24" i="3" s="1"/>
  <c r="I22" i="3"/>
  <c r="H22" i="3"/>
  <c r="D22" i="3"/>
  <c r="C22" i="3"/>
  <c r="I21" i="3"/>
  <c r="H21" i="3"/>
  <c r="G21" i="3"/>
  <c r="F21" i="3"/>
  <c r="E21" i="3"/>
  <c r="F22" i="3" s="1"/>
  <c r="D21" i="3"/>
  <c r="E22" i="3" s="1"/>
  <c r="C21" i="3"/>
  <c r="B21" i="3"/>
  <c r="B22" i="3" s="1"/>
  <c r="A20" i="3"/>
  <c r="D17" i="3"/>
  <c r="C17" i="3"/>
  <c r="F15" i="3"/>
  <c r="I14" i="3"/>
  <c r="H14" i="3"/>
  <c r="G14" i="3"/>
  <c r="F14" i="3"/>
  <c r="E14" i="3"/>
  <c r="C14" i="3"/>
  <c r="C11" i="3"/>
  <c r="B6" i="3"/>
  <c r="J1" i="3"/>
  <c r="K1" i="3" s="1"/>
  <c r="L1" i="3" s="1"/>
  <c r="M1" i="3" s="1"/>
  <c r="N1" i="3" s="1"/>
  <c r="H1" i="3"/>
  <c r="G1" i="3" s="1"/>
  <c r="F1" i="3" s="1"/>
  <c r="E1" i="3" s="1"/>
  <c r="D1" i="3" s="1"/>
  <c r="C1" i="3"/>
  <c r="B1" i="3" s="1"/>
  <c r="B203" i="2"/>
  <c r="H202" i="2"/>
  <c r="H197" i="3" s="1"/>
  <c r="G202" i="2"/>
  <c r="G197" i="3" s="1"/>
  <c r="F202" i="2"/>
  <c r="F197" i="3" s="1"/>
  <c r="E202" i="2"/>
  <c r="E197" i="3" s="1"/>
  <c r="D202" i="2"/>
  <c r="D197" i="3" s="1"/>
  <c r="C202" i="2"/>
  <c r="C197" i="3" s="1"/>
  <c r="B202" i="2"/>
  <c r="B197" i="3" s="1"/>
  <c r="H201" i="2"/>
  <c r="G201" i="2"/>
  <c r="F201" i="2"/>
  <c r="E201" i="2"/>
  <c r="D201" i="2"/>
  <c r="C201" i="2"/>
  <c r="B201" i="2"/>
  <c r="H200" i="2"/>
  <c r="H158" i="3" s="1"/>
  <c r="G200" i="2"/>
  <c r="G158" i="3" s="1"/>
  <c r="F200" i="2"/>
  <c r="F158" i="3" s="1"/>
  <c r="E200" i="2"/>
  <c r="E158" i="3" s="1"/>
  <c r="D200" i="2"/>
  <c r="D158" i="3" s="1"/>
  <c r="C200" i="2"/>
  <c r="C158" i="3" s="1"/>
  <c r="C159" i="3" s="1"/>
  <c r="B200" i="2"/>
  <c r="H199" i="2"/>
  <c r="H154" i="3" s="1"/>
  <c r="G199" i="2"/>
  <c r="F199" i="2"/>
  <c r="F154" i="3" s="1"/>
  <c r="E199" i="2"/>
  <c r="E154" i="3" s="1"/>
  <c r="D199" i="2"/>
  <c r="D154" i="3" s="1"/>
  <c r="C199" i="2"/>
  <c r="C154" i="3" s="1"/>
  <c r="B199" i="2"/>
  <c r="B154" i="3" s="1"/>
  <c r="H198" i="2"/>
  <c r="H150" i="3" s="1"/>
  <c r="G198" i="2"/>
  <c r="G150" i="3" s="1"/>
  <c r="F198" i="2"/>
  <c r="F150" i="3" s="1"/>
  <c r="E198" i="2"/>
  <c r="E150" i="3" s="1"/>
  <c r="D198" i="2"/>
  <c r="D150" i="3" s="1"/>
  <c r="C198" i="2"/>
  <c r="C150" i="3" s="1"/>
  <c r="B198" i="2"/>
  <c r="B150" i="3" s="1"/>
  <c r="H197" i="2"/>
  <c r="H147" i="3" s="1"/>
  <c r="G197" i="2"/>
  <c r="G147" i="3" s="1"/>
  <c r="F197" i="2"/>
  <c r="F147" i="3" s="1"/>
  <c r="E197" i="2"/>
  <c r="E147" i="3" s="1"/>
  <c r="D197" i="2"/>
  <c r="D147" i="3" s="1"/>
  <c r="C197" i="2"/>
  <c r="C147" i="3" s="1"/>
  <c r="B197" i="2"/>
  <c r="B196" i="2"/>
  <c r="H195" i="2"/>
  <c r="G195" i="2"/>
  <c r="G95" i="3" s="1"/>
  <c r="F195" i="2"/>
  <c r="E195" i="2"/>
  <c r="D195" i="2"/>
  <c r="D95" i="3" s="1"/>
  <c r="C195" i="2"/>
  <c r="B195" i="2"/>
  <c r="B178" i="3" s="1"/>
  <c r="H194" i="2"/>
  <c r="G194" i="2"/>
  <c r="F194" i="2"/>
  <c r="F91" i="3" s="1"/>
  <c r="E194" i="2"/>
  <c r="E91" i="3" s="1"/>
  <c r="D194" i="2"/>
  <c r="D91" i="3" s="1"/>
  <c r="C194" i="2"/>
  <c r="C91" i="3" s="1"/>
  <c r="B194" i="2"/>
  <c r="B91" i="3" s="1"/>
  <c r="H193" i="2"/>
  <c r="H87" i="3" s="1"/>
  <c r="G193" i="2"/>
  <c r="G87" i="3" s="1"/>
  <c r="F193" i="2"/>
  <c r="F87" i="3" s="1"/>
  <c r="E193" i="2"/>
  <c r="E87" i="3" s="1"/>
  <c r="D193" i="2"/>
  <c r="D87" i="3" s="1"/>
  <c r="C193" i="2"/>
  <c r="B193" i="2"/>
  <c r="B87" i="3" s="1"/>
  <c r="H192" i="2"/>
  <c r="G192" i="2"/>
  <c r="F192" i="2"/>
  <c r="E192" i="2"/>
  <c r="D192" i="2"/>
  <c r="C192" i="2"/>
  <c r="B192" i="2"/>
  <c r="B191" i="2"/>
  <c r="H190" i="2"/>
  <c r="H123" i="3" s="1"/>
  <c r="H124" i="3" s="1"/>
  <c r="G190" i="2"/>
  <c r="G123" i="3" s="1"/>
  <c r="F190" i="2"/>
  <c r="F123" i="3" s="1"/>
  <c r="F124" i="3" s="1"/>
  <c r="E190" i="2"/>
  <c r="E123" i="3" s="1"/>
  <c r="D190" i="2"/>
  <c r="D123" i="3" s="1"/>
  <c r="C190" i="2"/>
  <c r="B190" i="2"/>
  <c r="B123" i="3" s="1"/>
  <c r="H189" i="2"/>
  <c r="H119" i="3" s="1"/>
  <c r="G189" i="2"/>
  <c r="G119" i="3" s="1"/>
  <c r="F189" i="2"/>
  <c r="F119" i="3" s="1"/>
  <c r="E189" i="2"/>
  <c r="E119" i="3" s="1"/>
  <c r="D189" i="2"/>
  <c r="D119" i="3" s="1"/>
  <c r="C189" i="2"/>
  <c r="C119" i="3" s="1"/>
  <c r="B189" i="2"/>
  <c r="B119" i="3" s="1"/>
  <c r="H188" i="2"/>
  <c r="G188" i="2"/>
  <c r="F188" i="2"/>
  <c r="E188" i="2"/>
  <c r="D188" i="2"/>
  <c r="C188" i="2"/>
  <c r="B188" i="2"/>
  <c r="H187" i="2"/>
  <c r="H116" i="3" s="1"/>
  <c r="G187" i="2"/>
  <c r="G116" i="3" s="1"/>
  <c r="F187" i="2"/>
  <c r="F116" i="3" s="1"/>
  <c r="E187" i="2"/>
  <c r="E116" i="3" s="1"/>
  <c r="D187" i="2"/>
  <c r="D116" i="3" s="1"/>
  <c r="C187" i="2"/>
  <c r="C116" i="3" s="1"/>
  <c r="B187" i="2"/>
  <c r="B116" i="3" s="1"/>
  <c r="H186" i="2"/>
  <c r="G186" i="2"/>
  <c r="G64" i="3" s="1"/>
  <c r="F186" i="2"/>
  <c r="F64" i="3" s="1"/>
  <c r="E186" i="2"/>
  <c r="E64" i="3" s="1"/>
  <c r="D186" i="2"/>
  <c r="C186" i="2"/>
  <c r="C64" i="3" s="1"/>
  <c r="B186" i="2"/>
  <c r="B64" i="3" s="1"/>
  <c r="H185" i="2"/>
  <c r="H60" i="3" s="1"/>
  <c r="G185" i="2"/>
  <c r="G60" i="3" s="1"/>
  <c r="F185" i="2"/>
  <c r="F60" i="3" s="1"/>
  <c r="E185" i="2"/>
  <c r="E60" i="3" s="1"/>
  <c r="D185" i="2"/>
  <c r="D60" i="3" s="1"/>
  <c r="C185" i="2"/>
  <c r="C60" i="3" s="1"/>
  <c r="B185" i="2"/>
  <c r="B60" i="3" s="1"/>
  <c r="H184" i="2"/>
  <c r="H29" i="3" s="1"/>
  <c r="G184" i="2"/>
  <c r="F184" i="2"/>
  <c r="F56" i="3" s="1"/>
  <c r="E184" i="2"/>
  <c r="E56" i="3" s="1"/>
  <c r="D184" i="2"/>
  <c r="C184" i="2"/>
  <c r="C29" i="3" s="1"/>
  <c r="B184" i="2"/>
  <c r="B29" i="3" s="1"/>
  <c r="H183" i="2"/>
  <c r="H53" i="3" s="1"/>
  <c r="G183" i="2"/>
  <c r="G53" i="3" s="1"/>
  <c r="B183" i="2"/>
  <c r="H182" i="2"/>
  <c r="G182" i="2"/>
  <c r="G33" i="3" s="1"/>
  <c r="F182" i="2"/>
  <c r="F33" i="3" s="1"/>
  <c r="E182" i="2"/>
  <c r="E33" i="3" s="1"/>
  <c r="D182" i="2"/>
  <c r="D33" i="3" s="1"/>
  <c r="C182" i="2"/>
  <c r="C33" i="3" s="1"/>
  <c r="B182" i="2"/>
  <c r="B33" i="3" s="1"/>
  <c r="B34" i="3" s="1"/>
  <c r="H181" i="2"/>
  <c r="G181" i="2"/>
  <c r="F181" i="2"/>
  <c r="E181" i="2"/>
  <c r="D181" i="2"/>
  <c r="C181" i="2"/>
  <c r="B181" i="2"/>
  <c r="H180" i="2"/>
  <c r="H25" i="3" s="1"/>
  <c r="G180" i="2"/>
  <c r="G25" i="3" s="1"/>
  <c r="F180" i="2"/>
  <c r="E180" i="2"/>
  <c r="E25" i="3" s="1"/>
  <c r="D180" i="2"/>
  <c r="C180" i="2"/>
  <c r="C25" i="3" s="1"/>
  <c r="C26" i="3" s="1"/>
  <c r="B180" i="2"/>
  <c r="B25" i="3" s="1"/>
  <c r="B26" i="3" s="1"/>
  <c r="G179" i="2"/>
  <c r="F179" i="2"/>
  <c r="E179" i="2"/>
  <c r="D179" i="2"/>
  <c r="C179" i="2"/>
  <c r="B179" i="2"/>
  <c r="F176" i="2"/>
  <c r="E176" i="2"/>
  <c r="H175" i="2"/>
  <c r="H201" i="3" s="1"/>
  <c r="H8" i="3" s="1"/>
  <c r="G175" i="2"/>
  <c r="G201" i="3" s="1"/>
  <c r="F175" i="2"/>
  <c r="F201" i="3" s="1"/>
  <c r="I172" i="2"/>
  <c r="I175" i="2" s="1"/>
  <c r="H172" i="2"/>
  <c r="G172" i="2"/>
  <c r="F172" i="2"/>
  <c r="E172" i="2"/>
  <c r="E175" i="2" s="1"/>
  <c r="E201" i="3" s="1"/>
  <c r="D172" i="2"/>
  <c r="D175" i="2" s="1"/>
  <c r="C172" i="2"/>
  <c r="C175" i="2" s="1"/>
  <c r="B172" i="2"/>
  <c r="B175" i="2" s="1"/>
  <c r="H164" i="2"/>
  <c r="H165" i="2" s="1"/>
  <c r="G164" i="2"/>
  <c r="G165" i="2" s="1"/>
  <c r="C164" i="2"/>
  <c r="C165" i="2" s="1"/>
  <c r="B164" i="2"/>
  <c r="B165" i="2" s="1"/>
  <c r="I163" i="2"/>
  <c r="I164" i="2" s="1"/>
  <c r="I165" i="2" s="1"/>
  <c r="D163" i="2"/>
  <c r="D164" i="2" s="1"/>
  <c r="D165" i="2" s="1"/>
  <c r="C163" i="2"/>
  <c r="B163" i="2"/>
  <c r="I161" i="2"/>
  <c r="H161" i="2"/>
  <c r="H163" i="2" s="1"/>
  <c r="G161" i="2"/>
  <c r="G163" i="2" s="1"/>
  <c r="F161" i="2"/>
  <c r="F163" i="2" s="1"/>
  <c r="E161" i="2"/>
  <c r="D161" i="2"/>
  <c r="C161" i="2"/>
  <c r="B161" i="2"/>
  <c r="H154" i="2"/>
  <c r="G154" i="2"/>
  <c r="B154" i="2"/>
  <c r="I153" i="2"/>
  <c r="D153" i="2"/>
  <c r="D210" i="3" s="1"/>
  <c r="C153" i="2"/>
  <c r="C210" i="3" s="1"/>
  <c r="B153" i="2"/>
  <c r="B210" i="3" s="1"/>
  <c r="B212" i="3" s="1"/>
  <c r="I150" i="2"/>
  <c r="H150" i="2"/>
  <c r="H153" i="2" s="1"/>
  <c r="H210" i="3" s="1"/>
  <c r="G150" i="2"/>
  <c r="G153" i="2" s="1"/>
  <c r="G210" i="3" s="1"/>
  <c r="G17" i="3" s="1"/>
  <c r="F150" i="2"/>
  <c r="F153" i="2" s="1"/>
  <c r="F210" i="3" s="1"/>
  <c r="E150" i="2"/>
  <c r="E153" i="2" s="1"/>
  <c r="D150" i="2"/>
  <c r="C150" i="2"/>
  <c r="B150" i="2"/>
  <c r="I142" i="2"/>
  <c r="D142" i="2"/>
  <c r="D204" i="3" s="1"/>
  <c r="D205" i="3" s="1"/>
  <c r="C142" i="2"/>
  <c r="C204" i="3" s="1"/>
  <c r="B142" i="2"/>
  <c r="I139" i="2"/>
  <c r="H139" i="2"/>
  <c r="H142" i="2" s="1"/>
  <c r="H204" i="3" s="1"/>
  <c r="G139" i="2"/>
  <c r="G142" i="2" s="1"/>
  <c r="G204" i="3" s="1"/>
  <c r="G198" i="3" s="1"/>
  <c r="F139" i="2"/>
  <c r="F142" i="2" s="1"/>
  <c r="F204" i="3" s="1"/>
  <c r="E139" i="2"/>
  <c r="E142" i="2" s="1"/>
  <c r="D139" i="2"/>
  <c r="C139" i="2"/>
  <c r="B139" i="2"/>
  <c r="I125" i="2"/>
  <c r="I146" i="3" s="1"/>
  <c r="H125" i="2"/>
  <c r="H146" i="3" s="1"/>
  <c r="I124" i="2"/>
  <c r="I131" i="2" s="1"/>
  <c r="B132" i="2" s="1"/>
  <c r="H124" i="2"/>
  <c r="H131" i="2" s="1"/>
  <c r="G124" i="2"/>
  <c r="G131" i="2" s="1"/>
  <c r="G132" i="2" s="1"/>
  <c r="I119" i="2"/>
  <c r="I125" i="3" s="1"/>
  <c r="H119" i="2"/>
  <c r="G119" i="2"/>
  <c r="F119" i="2"/>
  <c r="F125" i="3" s="1"/>
  <c r="F115" i="3" s="1"/>
  <c r="E119" i="2"/>
  <c r="F191" i="2" s="1"/>
  <c r="D119" i="2"/>
  <c r="C119" i="2"/>
  <c r="C125" i="3" s="1"/>
  <c r="B119" i="2"/>
  <c r="B125" i="3" s="1"/>
  <c r="I115" i="2"/>
  <c r="H115" i="2"/>
  <c r="B114" i="2"/>
  <c r="B62" i="3" s="1"/>
  <c r="C63" i="3" s="1"/>
  <c r="C65" i="3" s="1"/>
  <c r="B113" i="2"/>
  <c r="B58" i="3" s="1"/>
  <c r="B112" i="2"/>
  <c r="I111" i="2"/>
  <c r="H111" i="2"/>
  <c r="G111" i="2"/>
  <c r="F111" i="2"/>
  <c r="F183" i="2" s="1"/>
  <c r="F53" i="3" s="1"/>
  <c r="E111" i="2"/>
  <c r="D111" i="2"/>
  <c r="C111" i="2"/>
  <c r="I107" i="2"/>
  <c r="H107" i="2"/>
  <c r="H179" i="2" s="1"/>
  <c r="G97" i="2"/>
  <c r="F97" i="2"/>
  <c r="E97" i="2"/>
  <c r="D97" i="2"/>
  <c r="C97" i="2"/>
  <c r="B97" i="2"/>
  <c r="E94" i="2"/>
  <c r="C94" i="2"/>
  <c r="B94" i="2"/>
  <c r="I92" i="2"/>
  <c r="H92" i="2"/>
  <c r="G92" i="2"/>
  <c r="F92" i="2"/>
  <c r="E92" i="2"/>
  <c r="D92" i="2"/>
  <c r="C92" i="2"/>
  <c r="B92" i="2"/>
  <c r="I83" i="2"/>
  <c r="H83" i="2"/>
  <c r="G83" i="2"/>
  <c r="F83" i="2"/>
  <c r="F94" i="2" s="1"/>
  <c r="E83" i="2"/>
  <c r="D83" i="2"/>
  <c r="C83" i="2"/>
  <c r="B83" i="2"/>
  <c r="G76" i="2"/>
  <c r="G94" i="2" s="1"/>
  <c r="F76" i="2"/>
  <c r="E76" i="2"/>
  <c r="D76" i="2"/>
  <c r="D94" i="2" s="1"/>
  <c r="C76" i="2"/>
  <c r="B76" i="2"/>
  <c r="I58" i="2"/>
  <c r="I59" i="2" s="1"/>
  <c r="I60" i="2" s="1"/>
  <c r="H58" i="2"/>
  <c r="H59" i="2" s="1"/>
  <c r="H60" i="2" s="1"/>
  <c r="G58" i="2"/>
  <c r="G59" i="2" s="1"/>
  <c r="F58" i="2"/>
  <c r="E58" i="2"/>
  <c r="D58" i="2"/>
  <c r="C58" i="2"/>
  <c r="C59" i="2" s="1"/>
  <c r="C60" i="2" s="1"/>
  <c r="B58" i="2"/>
  <c r="B59" i="2" s="1"/>
  <c r="B60" i="2" s="1"/>
  <c r="I45" i="2"/>
  <c r="H45" i="2"/>
  <c r="G45" i="2"/>
  <c r="F45" i="2"/>
  <c r="F59" i="2" s="1"/>
  <c r="F60" i="2" s="1"/>
  <c r="E45" i="2"/>
  <c r="D45" i="2"/>
  <c r="C45" i="2"/>
  <c r="B45" i="2"/>
  <c r="F36" i="2"/>
  <c r="B36" i="2"/>
  <c r="I30" i="2"/>
  <c r="I36" i="2" s="1"/>
  <c r="H30" i="2"/>
  <c r="H36" i="2" s="1"/>
  <c r="G30" i="2"/>
  <c r="G36" i="2" s="1"/>
  <c r="F30" i="2"/>
  <c r="E30" i="2"/>
  <c r="E36" i="2" s="1"/>
  <c r="D30" i="2"/>
  <c r="D36" i="2" s="1"/>
  <c r="C30" i="2"/>
  <c r="C36" i="2" s="1"/>
  <c r="B30" i="2"/>
  <c r="D20" i="2"/>
  <c r="D10" i="2"/>
  <c r="D12" i="2" s="1"/>
  <c r="D14" i="4" s="1"/>
  <c r="C10" i="2"/>
  <c r="C12" i="2" s="1"/>
  <c r="C14" i="4" s="1"/>
  <c r="I7" i="2"/>
  <c r="H7" i="2"/>
  <c r="G7" i="2"/>
  <c r="F7" i="2"/>
  <c r="E7" i="2"/>
  <c r="D7" i="2"/>
  <c r="C7" i="2"/>
  <c r="B7" i="2"/>
  <c r="I4" i="2"/>
  <c r="I10" i="2" s="1"/>
  <c r="I12" i="2" s="1"/>
  <c r="H4" i="2"/>
  <c r="H10" i="2" s="1"/>
  <c r="F4" i="2"/>
  <c r="D4" i="2"/>
  <c r="C4" i="2"/>
  <c r="B4" i="2"/>
  <c r="B10" i="2" s="1"/>
  <c r="G2" i="2"/>
  <c r="G4" i="2" s="1"/>
  <c r="G10" i="2" s="1"/>
  <c r="E2" i="2"/>
  <c r="E4" i="2" s="1"/>
  <c r="E10" i="2" s="1"/>
  <c r="E12" i="2" s="1"/>
  <c r="H1" i="2"/>
  <c r="G1" i="2" s="1"/>
  <c r="F1" i="2" s="1"/>
  <c r="E1" i="2" s="1"/>
  <c r="D1" i="2" s="1"/>
  <c r="C1" i="2" s="1"/>
  <c r="B1" i="2" s="1"/>
  <c r="I37" i="3" l="1"/>
  <c r="J37" i="3" s="1"/>
  <c r="K37" i="3" s="1"/>
  <c r="L37" i="3" s="1"/>
  <c r="M37" i="3" s="1"/>
  <c r="N37" i="3" s="1"/>
  <c r="E14" i="4"/>
  <c r="E20" i="2"/>
  <c r="G200" i="3"/>
  <c r="G199" i="3"/>
  <c r="H9" i="3"/>
  <c r="H6" i="4"/>
  <c r="I20" i="2"/>
  <c r="I14" i="4"/>
  <c r="I64" i="2"/>
  <c r="I76" i="2" s="1"/>
  <c r="I94" i="2" s="1"/>
  <c r="G143" i="2"/>
  <c r="G12" i="2"/>
  <c r="B12" i="2"/>
  <c r="B143" i="2"/>
  <c r="B176" i="2"/>
  <c r="B201" i="3"/>
  <c r="B203" i="3" s="1"/>
  <c r="L31" i="3"/>
  <c r="M31" i="3" s="1"/>
  <c r="N31" i="3" s="1"/>
  <c r="H132" i="2"/>
  <c r="H203" i="2"/>
  <c r="C201" i="3"/>
  <c r="C176" i="2"/>
  <c r="K50" i="3"/>
  <c r="J49" i="3"/>
  <c r="F127" i="3"/>
  <c r="F84" i="3"/>
  <c r="H18" i="3"/>
  <c r="N52" i="3"/>
  <c r="D201" i="3"/>
  <c r="D8" i="3" s="1"/>
  <c r="D176" i="2"/>
  <c r="H143" i="2"/>
  <c r="H12" i="2"/>
  <c r="G60" i="2"/>
  <c r="G202" i="3"/>
  <c r="G203" i="3"/>
  <c r="H196" i="2"/>
  <c r="E39" i="3"/>
  <c r="E8" i="3"/>
  <c r="F39" i="3"/>
  <c r="F8" i="3"/>
  <c r="E40" i="3"/>
  <c r="N105" i="3"/>
  <c r="I144" i="3"/>
  <c r="J142" i="3"/>
  <c r="I143" i="3"/>
  <c r="C183" i="2"/>
  <c r="C53" i="3" s="1"/>
  <c r="C124" i="2"/>
  <c r="C143" i="2"/>
  <c r="E203" i="3"/>
  <c r="D183" i="2"/>
  <c r="D53" i="3" s="1"/>
  <c r="D124" i="2"/>
  <c r="C126" i="3"/>
  <c r="I172" i="3"/>
  <c r="I169" i="3"/>
  <c r="I175" i="3"/>
  <c r="D143" i="2"/>
  <c r="G176" i="2"/>
  <c r="D56" i="3"/>
  <c r="D29" i="3"/>
  <c r="C191" i="2"/>
  <c r="H59" i="3"/>
  <c r="H61" i="3" s="1"/>
  <c r="G83" i="3"/>
  <c r="G86" i="3"/>
  <c r="G88" i="3" s="1"/>
  <c r="G212" i="3"/>
  <c r="G211" i="3"/>
  <c r="D28" i="3"/>
  <c r="M30" i="3"/>
  <c r="N30" i="3" s="1"/>
  <c r="C36" i="3"/>
  <c r="M52" i="3"/>
  <c r="H143" i="3"/>
  <c r="F151" i="3"/>
  <c r="H211" i="3"/>
  <c r="H212" i="3"/>
  <c r="F61" i="3"/>
  <c r="B100" i="3"/>
  <c r="B104" i="3"/>
  <c r="C102" i="3"/>
  <c r="J111" i="3"/>
  <c r="B206" i="3"/>
  <c r="B198" i="3"/>
  <c r="B200" i="3" s="1"/>
  <c r="B127" i="3"/>
  <c r="B84" i="3"/>
  <c r="J23" i="3"/>
  <c r="F40" i="3"/>
  <c r="E100" i="3"/>
  <c r="F99" i="3"/>
  <c r="E99" i="3"/>
  <c r="I191" i="3"/>
  <c r="J177" i="3"/>
  <c r="I188" i="3"/>
  <c r="I194" i="3"/>
  <c r="C205" i="3"/>
  <c r="F10" i="2"/>
  <c r="F12" i="2" s="1"/>
  <c r="C20" i="2"/>
  <c r="E124" i="2"/>
  <c r="D125" i="3"/>
  <c r="D126" i="3" s="1"/>
  <c r="D191" i="2"/>
  <c r="E204" i="3"/>
  <c r="E143" i="2"/>
  <c r="F143" i="2"/>
  <c r="C212" i="3"/>
  <c r="C211" i="3"/>
  <c r="E163" i="2"/>
  <c r="E164" i="2" s="1"/>
  <c r="E165" i="2" s="1"/>
  <c r="F164" i="2"/>
  <c r="F165" i="2" s="1"/>
  <c r="H176" i="2"/>
  <c r="G15" i="3"/>
  <c r="D18" i="3"/>
  <c r="N25" i="3"/>
  <c r="N24" i="3" s="1"/>
  <c r="E32" i="3"/>
  <c r="E34" i="3" s="1"/>
  <c r="C37" i="3"/>
  <c r="G35" i="3"/>
  <c r="G11" i="3"/>
  <c r="G43" i="3"/>
  <c r="G44" i="3"/>
  <c r="C56" i="3"/>
  <c r="M58" i="3"/>
  <c r="N58" i="3" s="1"/>
  <c r="L52" i="3"/>
  <c r="D66" i="3"/>
  <c r="D71" i="3"/>
  <c r="L76" i="3"/>
  <c r="K78" i="3"/>
  <c r="C118" i="3"/>
  <c r="C120" i="3" s="1"/>
  <c r="J121" i="3"/>
  <c r="I122" i="3"/>
  <c r="I124" i="3" s="1"/>
  <c r="I115" i="3"/>
  <c r="G129" i="3"/>
  <c r="G137" i="3"/>
  <c r="G178" i="3"/>
  <c r="D206" i="3"/>
  <c r="D11" i="3"/>
  <c r="D212" i="3"/>
  <c r="D211" i="3"/>
  <c r="G8" i="3"/>
  <c r="D26" i="3"/>
  <c r="I28" i="3"/>
  <c r="I30" i="3" s="1"/>
  <c r="J27" i="3"/>
  <c r="K27" i="3" s="1"/>
  <c r="L27" i="3" s="1"/>
  <c r="H44" i="3"/>
  <c r="H43" i="3"/>
  <c r="H11" i="3"/>
  <c r="B175" i="3"/>
  <c r="C174" i="3"/>
  <c r="I210" i="3"/>
  <c r="I154" i="2"/>
  <c r="E35" i="3"/>
  <c r="E41" i="3"/>
  <c r="G59" i="3"/>
  <c r="J75" i="3"/>
  <c r="K73" i="3"/>
  <c r="B138" i="3"/>
  <c r="B134" i="3"/>
  <c r="B141" i="3"/>
  <c r="B144" i="3"/>
  <c r="G125" i="3"/>
  <c r="G191" i="2"/>
  <c r="G22" i="3"/>
  <c r="H35" i="3"/>
  <c r="I67" i="3"/>
  <c r="F83" i="3"/>
  <c r="E59" i="2"/>
  <c r="E60" i="2" s="1"/>
  <c r="H125" i="3"/>
  <c r="H191" i="2"/>
  <c r="C154" i="2"/>
  <c r="H95" i="3"/>
  <c r="H96" i="3" s="1"/>
  <c r="H178" i="3"/>
  <c r="E15" i="3"/>
  <c r="F30" i="3"/>
  <c r="N29" i="3"/>
  <c r="N28" i="3" s="1"/>
  <c r="D15" i="3"/>
  <c r="G50" i="3"/>
  <c r="G49" i="3"/>
  <c r="G52" i="3"/>
  <c r="G55" i="3"/>
  <c r="G57" i="3" s="1"/>
  <c r="D65" i="3"/>
  <c r="C67" i="3"/>
  <c r="H86" i="3"/>
  <c r="H88" i="3" s="1"/>
  <c r="H90" i="3"/>
  <c r="H92" i="3" s="1"/>
  <c r="H83" i="3"/>
  <c r="H110" i="3" s="1"/>
  <c r="E107" i="3"/>
  <c r="E11" i="3"/>
  <c r="G153" i="3"/>
  <c r="G155" i="3" s="1"/>
  <c r="H153" i="3"/>
  <c r="H155" i="3" s="1"/>
  <c r="G157" i="3"/>
  <c r="G159" i="3" s="1"/>
  <c r="C194" i="3"/>
  <c r="C193" i="3"/>
  <c r="C185" i="3"/>
  <c r="F212" i="3"/>
  <c r="F17" i="3"/>
  <c r="G18" i="3" s="1"/>
  <c r="B35" i="3"/>
  <c r="B44" i="3"/>
  <c r="E151" i="3"/>
  <c r="I204" i="3"/>
  <c r="I143" i="2"/>
  <c r="H202" i="3"/>
  <c r="H203" i="3"/>
  <c r="F198" i="3"/>
  <c r="F206" i="3"/>
  <c r="M32" i="3"/>
  <c r="B46" i="3"/>
  <c r="B47" i="3"/>
  <c r="B14" i="3"/>
  <c r="H67" i="3"/>
  <c r="I100" i="3"/>
  <c r="I99" i="3"/>
  <c r="I138" i="3"/>
  <c r="I129" i="3"/>
  <c r="I137" i="3"/>
  <c r="J136" i="3"/>
  <c r="F162" i="3"/>
  <c r="G161" i="3"/>
  <c r="F161" i="3"/>
  <c r="D59" i="2"/>
  <c r="D60" i="2" s="1"/>
  <c r="H205" i="3"/>
  <c r="H198" i="3"/>
  <c r="H206" i="3"/>
  <c r="F41" i="3"/>
  <c r="G96" i="3"/>
  <c r="B111" i="2"/>
  <c r="B124" i="2" s="1"/>
  <c r="B131" i="2" s="1"/>
  <c r="B54" i="3"/>
  <c r="J125" i="3"/>
  <c r="K125" i="3" s="1"/>
  <c r="L125" i="3" s="1"/>
  <c r="M125" i="3" s="1"/>
  <c r="N125" i="3" s="1"/>
  <c r="D154" i="2"/>
  <c r="E183" i="2"/>
  <c r="E53" i="3" s="1"/>
  <c r="I3" i="3"/>
  <c r="F26" i="3"/>
  <c r="B40" i="3"/>
  <c r="B39" i="3"/>
  <c r="B41" i="3"/>
  <c r="G39" i="3"/>
  <c r="K41" i="3"/>
  <c r="C43" i="3"/>
  <c r="H49" i="3"/>
  <c r="H50" i="3"/>
  <c r="H52" i="3"/>
  <c r="H78" i="3" s="1"/>
  <c r="H55" i="3"/>
  <c r="H57" i="3" s="1"/>
  <c r="D194" i="3"/>
  <c r="D185" i="3"/>
  <c r="E193" i="3"/>
  <c r="D193" i="3"/>
  <c r="E125" i="3"/>
  <c r="E191" i="2"/>
  <c r="B11" i="3"/>
  <c r="H15" i="3"/>
  <c r="F34" i="3"/>
  <c r="L32" i="3"/>
  <c r="E72" i="3"/>
  <c r="E66" i="3"/>
  <c r="H129" i="3"/>
  <c r="H137" i="3"/>
  <c r="G205" i="3"/>
  <c r="G206" i="3"/>
  <c r="I201" i="3"/>
  <c r="I176" i="2"/>
  <c r="C7" i="4"/>
  <c r="C12" i="3"/>
  <c r="C8" i="4" s="1"/>
  <c r="I44" i="3"/>
  <c r="I11" i="3"/>
  <c r="E52" i="3"/>
  <c r="E71" i="3" s="1"/>
  <c r="E55" i="3"/>
  <c r="E57" i="3" s="1"/>
  <c r="E28" i="3"/>
  <c r="E30" i="3" s="1"/>
  <c r="J98" i="3"/>
  <c r="M207" i="3"/>
  <c r="F124" i="2"/>
  <c r="C206" i="3"/>
  <c r="C198" i="3"/>
  <c r="E210" i="3"/>
  <c r="E154" i="2"/>
  <c r="F154" i="2"/>
  <c r="F202" i="3"/>
  <c r="F203" i="3"/>
  <c r="B17" i="3"/>
  <c r="B30" i="3"/>
  <c r="D47" i="3"/>
  <c r="I49" i="3"/>
  <c r="I17" i="3"/>
  <c r="J72" i="3"/>
  <c r="K69" i="3"/>
  <c r="J71" i="3"/>
  <c r="B83" i="3"/>
  <c r="C86" i="3"/>
  <c r="C88" i="3" s="1"/>
  <c r="D94" i="3"/>
  <c r="D96" i="3" s="1"/>
  <c r="D83" i="3"/>
  <c r="B95" i="3"/>
  <c r="D100" i="3"/>
  <c r="K160" i="3"/>
  <c r="J185" i="3"/>
  <c r="J184" i="3"/>
  <c r="K182" i="3"/>
  <c r="F141" i="3"/>
  <c r="F144" i="3"/>
  <c r="H172" i="3"/>
  <c r="H169" i="3"/>
  <c r="I15" i="3"/>
  <c r="C39" i="3"/>
  <c r="E47" i="3"/>
  <c r="E46" i="3"/>
  <c r="E50" i="3"/>
  <c r="H65" i="3"/>
  <c r="H80" i="3"/>
  <c r="I90" i="3"/>
  <c r="I92" i="3" s="1"/>
  <c r="B135" i="3"/>
  <c r="H157" i="3"/>
  <c r="H159" i="3" s="1"/>
  <c r="E175" i="3"/>
  <c r="E174" i="3"/>
  <c r="E166" i="3"/>
  <c r="H175" i="3"/>
  <c r="L186" i="3"/>
  <c r="F60" i="4"/>
  <c r="C44" i="3"/>
  <c r="F47" i="3"/>
  <c r="F46" i="3"/>
  <c r="J66" i="3"/>
  <c r="J81" i="3"/>
  <c r="K79" i="3"/>
  <c r="J89" i="3"/>
  <c r="K89" i="3" s="1"/>
  <c r="L89" i="3" s="1"/>
  <c r="M89" i="3" s="1"/>
  <c r="N89" i="3" s="1"/>
  <c r="C107" i="3"/>
  <c r="C98" i="3"/>
  <c r="D106" i="3"/>
  <c r="C106" i="3"/>
  <c r="C110" i="3"/>
  <c r="E120" i="3"/>
  <c r="D122" i="3"/>
  <c r="D124" i="3" s="1"/>
  <c r="I157" i="3"/>
  <c r="I159" i="3" s="1"/>
  <c r="J156" i="3"/>
  <c r="K156" i="3" s="1"/>
  <c r="L156" i="3" s="1"/>
  <c r="M156" i="3" s="1"/>
  <c r="N156" i="3" s="1"/>
  <c r="K167" i="3"/>
  <c r="J209" i="3"/>
  <c r="C178" i="3"/>
  <c r="C95" i="3"/>
  <c r="C96" i="3" s="1"/>
  <c r="G41" i="3"/>
  <c r="D43" i="3"/>
  <c r="C50" i="3"/>
  <c r="C61" i="3" s="1"/>
  <c r="C49" i="3"/>
  <c r="F65" i="3"/>
  <c r="E94" i="3"/>
  <c r="E96" i="3" s="1"/>
  <c r="B131" i="3"/>
  <c r="F135" i="3"/>
  <c r="F134" i="3"/>
  <c r="F133" i="3"/>
  <c r="C143" i="3"/>
  <c r="C172" i="3"/>
  <c r="C165" i="3"/>
  <c r="C155" i="3"/>
  <c r="C169" i="3"/>
  <c r="H40" i="3"/>
  <c r="D44" i="3"/>
  <c r="D50" i="3"/>
  <c r="D61" i="3" s="1"/>
  <c r="D57" i="3"/>
  <c r="G63" i="3"/>
  <c r="G65" i="3" s="1"/>
  <c r="I80" i="3"/>
  <c r="F94" i="3"/>
  <c r="E103" i="3"/>
  <c r="E102" i="3"/>
  <c r="D113" i="3"/>
  <c r="D104" i="3"/>
  <c r="D112" i="3"/>
  <c r="C124" i="3"/>
  <c r="C131" i="3"/>
  <c r="K139" i="3"/>
  <c r="D172" i="3"/>
  <c r="D165" i="3"/>
  <c r="J166" i="3"/>
  <c r="I181" i="3"/>
  <c r="K189" i="3"/>
  <c r="N192" i="3"/>
  <c r="E178" i="3"/>
  <c r="E95" i="3"/>
  <c r="G32" i="3"/>
  <c r="G34" i="3" s="1"/>
  <c r="I39" i="3"/>
  <c r="C41" i="3"/>
  <c r="E43" i="3"/>
  <c r="H71" i="3"/>
  <c r="H72" i="3"/>
  <c r="H70" i="3"/>
  <c r="C92" i="3"/>
  <c r="F102" i="3"/>
  <c r="E113" i="3"/>
  <c r="E112" i="3"/>
  <c r="E165" i="3"/>
  <c r="E169" i="3"/>
  <c r="G151" i="3"/>
  <c r="K163" i="3"/>
  <c r="C160" i="3"/>
  <c r="C168" i="3"/>
  <c r="E172" i="3"/>
  <c r="M173" i="3"/>
  <c r="F184" i="3"/>
  <c r="F188" i="3"/>
  <c r="J179" i="3"/>
  <c r="D179" i="3"/>
  <c r="D188" i="3"/>
  <c r="I19" i="4"/>
  <c r="F95" i="3"/>
  <c r="F178" i="3"/>
  <c r="L24" i="3"/>
  <c r="H32" i="3"/>
  <c r="H34" i="3" s="1"/>
  <c r="D35" i="3"/>
  <c r="F35" i="3"/>
  <c r="E61" i="3"/>
  <c r="I71" i="3"/>
  <c r="I72" i="3"/>
  <c r="I70" i="3"/>
  <c r="D75" i="3"/>
  <c r="C80" i="3"/>
  <c r="C81" i="3"/>
  <c r="D90" i="3"/>
  <c r="D92" i="3" s="1"/>
  <c r="H99" i="3"/>
  <c r="C130" i="3"/>
  <c r="H149" i="3"/>
  <c r="H151" i="3" s="1"/>
  <c r="F153" i="3"/>
  <c r="F155" i="3" s="1"/>
  <c r="E179" i="3"/>
  <c r="E188" i="3"/>
  <c r="E187" i="3"/>
  <c r="F72" i="3"/>
  <c r="F71" i="3"/>
  <c r="F106" i="3"/>
  <c r="F112" i="3"/>
  <c r="C115" i="3"/>
  <c r="D135" i="3"/>
  <c r="D134" i="3"/>
  <c r="D133" i="3"/>
  <c r="D129" i="3"/>
  <c r="C175" i="3"/>
  <c r="C166" i="3"/>
  <c r="G60" i="4"/>
  <c r="F52" i="3"/>
  <c r="F55" i="3"/>
  <c r="F57" i="3" s="1"/>
  <c r="C74" i="3"/>
  <c r="G100" i="3"/>
  <c r="D102" i="3"/>
  <c r="G107" i="3"/>
  <c r="G113" i="3"/>
  <c r="G104" i="3"/>
  <c r="D115" i="3"/>
  <c r="F138" i="3"/>
  <c r="F129" i="3"/>
  <c r="D153" i="3"/>
  <c r="D155" i="3" s="1"/>
  <c r="E159" i="3"/>
  <c r="I162" i="3"/>
  <c r="D175" i="3"/>
  <c r="J188" i="3"/>
  <c r="H103" i="3"/>
  <c r="K132" i="3"/>
  <c r="I135" i="3"/>
  <c r="D160" i="3"/>
  <c r="D169" i="3"/>
  <c r="F194" i="3"/>
  <c r="F193" i="3"/>
  <c r="F18" i="4"/>
  <c r="F19" i="4"/>
  <c r="F11" i="3"/>
  <c r="G46" i="3"/>
  <c r="D49" i="3"/>
  <c r="D80" i="3"/>
  <c r="I83" i="3"/>
  <c r="I113" i="3" s="1"/>
  <c r="J85" i="3"/>
  <c r="I104" i="3"/>
  <c r="G112" i="3"/>
  <c r="E133" i="3"/>
  <c r="E168" i="3"/>
  <c r="F181" i="3"/>
  <c r="G180" i="3"/>
  <c r="C188" i="3"/>
  <c r="G18" i="4"/>
  <c r="G19" i="4"/>
  <c r="F50" i="3"/>
  <c r="F66" i="3"/>
  <c r="G67" i="3" s="1"/>
  <c r="I75" i="3"/>
  <c r="J101" i="3"/>
  <c r="N108" i="3"/>
  <c r="H112" i="3"/>
  <c r="L117" i="3"/>
  <c r="F137" i="3"/>
  <c r="C149" i="3"/>
  <c r="C151" i="3" s="1"/>
  <c r="I161" i="3"/>
  <c r="C179" i="3"/>
  <c r="C187" i="3"/>
  <c r="H18" i="4"/>
  <c r="H19" i="4"/>
  <c r="I43" i="4"/>
  <c r="D43" i="4"/>
  <c r="B53" i="4"/>
  <c r="H60" i="4"/>
  <c r="F120" i="3"/>
  <c r="C164" i="3"/>
  <c r="C183" i="3"/>
  <c r="C53" i="4"/>
  <c r="I60" i="4"/>
  <c r="D107" i="3"/>
  <c r="I118" i="3"/>
  <c r="I120" i="3" s="1"/>
  <c r="K148" i="3"/>
  <c r="E162" i="3"/>
  <c r="B19" i="4"/>
  <c r="H43" i="4"/>
  <c r="I59" i="3"/>
  <c r="I61" i="3" s="1"/>
  <c r="G124" i="3"/>
  <c r="H166" i="3"/>
  <c r="H165" i="3"/>
  <c r="G181" i="3"/>
  <c r="H160" i="3"/>
  <c r="I166" i="3"/>
  <c r="I165" i="3"/>
  <c r="B160" i="3"/>
  <c r="B162" i="3" s="1"/>
  <c r="K170" i="3"/>
  <c r="G174" i="3"/>
  <c r="H181" i="3"/>
  <c r="I185" i="3"/>
  <c r="I184" i="3"/>
  <c r="B188" i="3"/>
  <c r="B179" i="3"/>
  <c r="B181" i="3" s="1"/>
  <c r="H193" i="3"/>
  <c r="K209" i="3"/>
  <c r="G69" i="4"/>
  <c r="I106" i="3"/>
  <c r="C113" i="3"/>
  <c r="I149" i="3"/>
  <c r="I151" i="3" s="1"/>
  <c r="F166" i="3"/>
  <c r="G185" i="3"/>
  <c r="C135" i="3"/>
  <c r="G166" i="3"/>
  <c r="H185" i="3"/>
  <c r="I187" i="3"/>
  <c r="D6" i="4" l="1"/>
  <c r="D5" i="3"/>
  <c r="H84" i="3"/>
  <c r="H127" i="3"/>
  <c r="J115" i="3"/>
  <c r="J144" i="3" s="1"/>
  <c r="K121" i="3"/>
  <c r="G7" i="4"/>
  <c r="G12" i="3"/>
  <c r="G8" i="4" s="1"/>
  <c r="C127" i="3"/>
  <c r="C84" i="3"/>
  <c r="E202" i="3"/>
  <c r="F7" i="4"/>
  <c r="F12" i="3"/>
  <c r="F8" i="4" s="1"/>
  <c r="F13" i="3"/>
  <c r="F9" i="4" s="1"/>
  <c r="C141" i="3"/>
  <c r="C138" i="3"/>
  <c r="C3" i="3"/>
  <c r="C144" i="3"/>
  <c r="K191" i="3"/>
  <c r="L189" i="3"/>
  <c r="B110" i="3"/>
  <c r="B113" i="3"/>
  <c r="B103" i="3"/>
  <c r="I7" i="4"/>
  <c r="I12" i="3"/>
  <c r="I8" i="4" s="1"/>
  <c r="I13" i="3"/>
  <c r="I9" i="4" s="1"/>
  <c r="H200" i="3"/>
  <c r="H199" i="3"/>
  <c r="H126" i="3"/>
  <c r="H128" i="3" s="1"/>
  <c r="H115" i="3"/>
  <c r="H131" i="3" s="1"/>
  <c r="G68" i="3"/>
  <c r="G36" i="3"/>
  <c r="G37" i="3"/>
  <c r="K177" i="3"/>
  <c r="J194" i="3"/>
  <c r="K111" i="3"/>
  <c r="E6" i="4"/>
  <c r="E9" i="3"/>
  <c r="E5" i="3"/>
  <c r="C161" i="3"/>
  <c r="C162" i="3"/>
  <c r="J191" i="3"/>
  <c r="B107" i="3"/>
  <c r="E68" i="3"/>
  <c r="E67" i="3"/>
  <c r="H68" i="3"/>
  <c r="J204" i="3"/>
  <c r="I205" i="3"/>
  <c r="I198" i="3"/>
  <c r="I206" i="3"/>
  <c r="D7" i="4"/>
  <c r="D13" i="3"/>
  <c r="D9" i="4" s="1"/>
  <c r="D12" i="3"/>
  <c r="D8" i="4" s="1"/>
  <c r="D30" i="3"/>
  <c r="C196" i="2"/>
  <c r="C131" i="2"/>
  <c r="L132" i="3"/>
  <c r="H130" i="3"/>
  <c r="F6" i="4"/>
  <c r="F10" i="3"/>
  <c r="F9" i="3"/>
  <c r="F5" i="3"/>
  <c r="K66" i="3"/>
  <c r="J68" i="3"/>
  <c r="G71" i="3"/>
  <c r="E212" i="3"/>
  <c r="E17" i="3"/>
  <c r="E211" i="3"/>
  <c r="E198" i="3"/>
  <c r="E206" i="3"/>
  <c r="E205" i="3"/>
  <c r="H81" i="3"/>
  <c r="K172" i="3"/>
  <c r="L170" i="3"/>
  <c r="D180" i="3"/>
  <c r="D181" i="3"/>
  <c r="C99" i="3"/>
  <c r="C100" i="3"/>
  <c r="M186" i="3"/>
  <c r="I19" i="3"/>
  <c r="I18" i="3"/>
  <c r="F196" i="2"/>
  <c r="F131" i="2"/>
  <c r="G196" i="2"/>
  <c r="H3" i="3"/>
  <c r="M28" i="3"/>
  <c r="G61" i="3"/>
  <c r="H113" i="3"/>
  <c r="K142" i="3"/>
  <c r="J104" i="3"/>
  <c r="K101" i="3"/>
  <c r="C199" i="3"/>
  <c r="C200" i="3"/>
  <c r="C15" i="3"/>
  <c r="B37" i="3"/>
  <c r="B36" i="3"/>
  <c r="H36" i="3"/>
  <c r="H37" i="3"/>
  <c r="D68" i="3"/>
  <c r="D67" i="3"/>
  <c r="C134" i="3"/>
  <c r="C180" i="3"/>
  <c r="C181" i="3"/>
  <c r="J83" i="3"/>
  <c r="J103" i="3" s="1"/>
  <c r="K85" i="3"/>
  <c r="J181" i="3"/>
  <c r="K179" i="3"/>
  <c r="L160" i="3"/>
  <c r="M209" i="3"/>
  <c r="N207" i="3"/>
  <c r="N209" i="3" s="1"/>
  <c r="I202" i="3"/>
  <c r="I203" i="3"/>
  <c r="J201" i="3"/>
  <c r="I8" i="3"/>
  <c r="B7" i="4"/>
  <c r="I126" i="3"/>
  <c r="I128" i="3" s="1"/>
  <c r="M27" i="3"/>
  <c r="N27" i="3" s="1"/>
  <c r="B8" i="3"/>
  <c r="E196" i="2"/>
  <c r="E131" i="2"/>
  <c r="L50" i="3"/>
  <c r="K49" i="3"/>
  <c r="D37" i="3"/>
  <c r="D36" i="3"/>
  <c r="M117" i="3"/>
  <c r="E7" i="4"/>
  <c r="E12" i="3"/>
  <c r="E8" i="4" s="1"/>
  <c r="F110" i="3"/>
  <c r="F103" i="3"/>
  <c r="F107" i="3"/>
  <c r="F100" i="3"/>
  <c r="F113" i="3"/>
  <c r="L78" i="3"/>
  <c r="M76" i="3"/>
  <c r="H7" i="4"/>
  <c r="H12" i="3"/>
  <c r="H8" i="4" s="1"/>
  <c r="B14" i="4"/>
  <c r="B20" i="2"/>
  <c r="F67" i="3"/>
  <c r="F68" i="3"/>
  <c r="D84" i="3"/>
  <c r="D127" i="3"/>
  <c r="D128" i="3" s="1"/>
  <c r="F131" i="3"/>
  <c r="F130" i="3"/>
  <c r="F96" i="3"/>
  <c r="I110" i="3"/>
  <c r="I107" i="3"/>
  <c r="I103" i="3"/>
  <c r="D161" i="3"/>
  <c r="D162" i="3"/>
  <c r="E161" i="3"/>
  <c r="D141" i="3"/>
  <c r="D144" i="3"/>
  <c r="D138" i="3"/>
  <c r="H100" i="3"/>
  <c r="D99" i="3"/>
  <c r="E127" i="3"/>
  <c r="E84" i="3"/>
  <c r="L41" i="3"/>
  <c r="B52" i="3"/>
  <c r="C55" i="3"/>
  <c r="C57" i="3" s="1"/>
  <c r="K136" i="3"/>
  <c r="E37" i="3"/>
  <c r="E36" i="3"/>
  <c r="G131" i="3"/>
  <c r="G130" i="3"/>
  <c r="J21" i="3"/>
  <c r="K23" i="3"/>
  <c r="C128" i="3"/>
  <c r="H14" i="4"/>
  <c r="H20" i="2"/>
  <c r="H64" i="2"/>
  <c r="H76" i="2" s="1"/>
  <c r="H94" i="2" s="1"/>
  <c r="H96" i="2" s="1"/>
  <c r="I36" i="3"/>
  <c r="G78" i="3"/>
  <c r="G81" i="3"/>
  <c r="G75" i="3"/>
  <c r="D202" i="3"/>
  <c r="D203" i="3"/>
  <c r="E81" i="3"/>
  <c r="E78" i="3"/>
  <c r="E75" i="3"/>
  <c r="K166" i="3"/>
  <c r="L163" i="3"/>
  <c r="I16" i="3"/>
  <c r="I3" i="4"/>
  <c r="I24" i="4" s="1"/>
  <c r="I31" i="4" s="1"/>
  <c r="L69" i="3"/>
  <c r="K71" i="3"/>
  <c r="K72" i="3"/>
  <c r="F81" i="3"/>
  <c r="F3" i="3"/>
  <c r="F78" i="3"/>
  <c r="F75" i="3"/>
  <c r="G14" i="4"/>
  <c r="G20" i="2"/>
  <c r="L148" i="3"/>
  <c r="K146" i="3"/>
  <c r="K175" i="3" s="1"/>
  <c r="D131" i="3"/>
  <c r="E130" i="3"/>
  <c r="D130" i="3"/>
  <c r="E180" i="3"/>
  <c r="E181" i="3"/>
  <c r="L139" i="3"/>
  <c r="L167" i="3"/>
  <c r="K98" i="3"/>
  <c r="E126" i="3"/>
  <c r="E115" i="3"/>
  <c r="F126" i="3"/>
  <c r="F128" i="3" s="1"/>
  <c r="F205" i="3"/>
  <c r="G127" i="3"/>
  <c r="G84" i="3"/>
  <c r="F14" i="4"/>
  <c r="F20" i="2"/>
  <c r="G103" i="3"/>
  <c r="G110" i="3"/>
  <c r="D131" i="2"/>
  <c r="D196" i="2"/>
  <c r="C202" i="3"/>
  <c r="C8" i="3"/>
  <c r="D9" i="3" s="1"/>
  <c r="C203" i="3"/>
  <c r="D198" i="3"/>
  <c r="K185" i="3"/>
  <c r="K184" i="3"/>
  <c r="L182" i="3"/>
  <c r="F211" i="3"/>
  <c r="K75" i="3"/>
  <c r="L73" i="3"/>
  <c r="H162" i="3"/>
  <c r="H161" i="3"/>
  <c r="J146" i="3"/>
  <c r="F180" i="3"/>
  <c r="H75" i="3"/>
  <c r="F36" i="3"/>
  <c r="F37" i="3"/>
  <c r="N173" i="3"/>
  <c r="H107" i="3"/>
  <c r="K81" i="3"/>
  <c r="L79" i="3"/>
  <c r="D110" i="3"/>
  <c r="D103" i="3"/>
  <c r="D3" i="3"/>
  <c r="D10" i="3" s="1"/>
  <c r="J129" i="3"/>
  <c r="I130" i="3"/>
  <c r="I131" i="3"/>
  <c r="F200" i="3"/>
  <c r="G126" i="3"/>
  <c r="G128" i="3" s="1"/>
  <c r="G115" i="3"/>
  <c r="G3" i="3" s="1"/>
  <c r="J210" i="3"/>
  <c r="I212" i="3"/>
  <c r="I211" i="3"/>
  <c r="G6" i="4"/>
  <c r="G9" i="3"/>
  <c r="G5" i="3"/>
  <c r="I141" i="3"/>
  <c r="I134" i="3"/>
  <c r="H5" i="3"/>
  <c r="C18" i="3"/>
  <c r="G3" i="4" l="1"/>
  <c r="G24" i="4" s="1"/>
  <c r="G31" i="4" s="1"/>
  <c r="G4" i="3"/>
  <c r="G4" i="4" s="1"/>
  <c r="G16" i="3"/>
  <c r="G19" i="3"/>
  <c r="G13" i="3"/>
  <c r="G9" i="4" s="1"/>
  <c r="G10" i="3"/>
  <c r="H3" i="4"/>
  <c r="H24" i="4" s="1"/>
  <c r="H31" i="4" s="1"/>
  <c r="H4" i="3"/>
  <c r="H4" i="4" s="1"/>
  <c r="H16" i="3"/>
  <c r="H19" i="3"/>
  <c r="H10" i="3"/>
  <c r="J138" i="3"/>
  <c r="H68" i="4"/>
  <c r="I95" i="2"/>
  <c r="H97" i="2"/>
  <c r="L136" i="3"/>
  <c r="L142" i="3"/>
  <c r="N186" i="3"/>
  <c r="K204" i="3"/>
  <c r="J206" i="3"/>
  <c r="K129" i="3"/>
  <c r="J131" i="3"/>
  <c r="M78" i="3"/>
  <c r="N76" i="3"/>
  <c r="N78" i="3" s="1"/>
  <c r="E141" i="3"/>
  <c r="E144" i="3"/>
  <c r="E134" i="3"/>
  <c r="E138" i="3"/>
  <c r="E131" i="3"/>
  <c r="E135" i="3"/>
  <c r="H141" i="3"/>
  <c r="H135" i="3"/>
  <c r="H134" i="3"/>
  <c r="H144" i="3"/>
  <c r="H138" i="3"/>
  <c r="K104" i="3"/>
  <c r="L101" i="3"/>
  <c r="L121" i="3"/>
  <c r="K115" i="3"/>
  <c r="K100" i="3"/>
  <c r="L98" i="3"/>
  <c r="M50" i="3"/>
  <c r="L49" i="3"/>
  <c r="L81" i="3"/>
  <c r="M79" i="3"/>
  <c r="K165" i="3"/>
  <c r="B6" i="4"/>
  <c r="B5" i="3"/>
  <c r="E18" i="3"/>
  <c r="J113" i="3"/>
  <c r="J3" i="3"/>
  <c r="J45" i="3"/>
  <c r="J35" i="3"/>
  <c r="J22" i="3"/>
  <c r="J48" i="3"/>
  <c r="L85" i="3"/>
  <c r="K83" i="3"/>
  <c r="K103" i="3" s="1"/>
  <c r="M189" i="3"/>
  <c r="I5" i="3"/>
  <c r="I9" i="3"/>
  <c r="I6" i="4"/>
  <c r="I10" i="3"/>
  <c r="E5" i="4"/>
  <c r="E6" i="3"/>
  <c r="J134" i="3"/>
  <c r="J141" i="3"/>
  <c r="J135" i="3"/>
  <c r="K210" i="3"/>
  <c r="J212" i="3"/>
  <c r="J100" i="3"/>
  <c r="E199" i="3"/>
  <c r="E200" i="3"/>
  <c r="M167" i="3"/>
  <c r="M132" i="3"/>
  <c r="L111" i="3"/>
  <c r="K113" i="3"/>
  <c r="M170" i="3"/>
  <c r="D3" i="4"/>
  <c r="D24" i="4" s="1"/>
  <c r="D31" i="4" s="1"/>
  <c r="D4" i="3"/>
  <c r="D4" i="4" s="1"/>
  <c r="D19" i="3"/>
  <c r="D16" i="3"/>
  <c r="M148" i="3"/>
  <c r="L146" i="3"/>
  <c r="L175" i="3" s="1"/>
  <c r="D203" i="2"/>
  <c r="D132" i="2"/>
  <c r="E203" i="2"/>
  <c r="E132" i="2"/>
  <c r="L184" i="3"/>
  <c r="L185" i="3"/>
  <c r="M182" i="3"/>
  <c r="K162" i="3"/>
  <c r="F199" i="3"/>
  <c r="M139" i="3"/>
  <c r="F3" i="4"/>
  <c r="F24" i="4" s="1"/>
  <c r="F31" i="4" s="1"/>
  <c r="F16" i="3"/>
  <c r="H13" i="3"/>
  <c r="H9" i="4" s="1"/>
  <c r="F18" i="3"/>
  <c r="M160" i="3"/>
  <c r="C132" i="2"/>
  <c r="C203" i="2"/>
  <c r="D7" i="3"/>
  <c r="D5" i="4"/>
  <c r="M69" i="3"/>
  <c r="L71" i="3"/>
  <c r="L72" i="3"/>
  <c r="J175" i="3"/>
  <c r="J169" i="3"/>
  <c r="J172" i="3"/>
  <c r="J165" i="3"/>
  <c r="J162" i="3"/>
  <c r="E128" i="3"/>
  <c r="L166" i="3"/>
  <c r="M163" i="3"/>
  <c r="G141" i="3"/>
  <c r="G134" i="3"/>
  <c r="G138" i="3"/>
  <c r="G135" i="3"/>
  <c r="G144" i="3"/>
  <c r="H7" i="3"/>
  <c r="H5" i="4"/>
  <c r="H6" i="3"/>
  <c r="N117" i="3"/>
  <c r="F19" i="3"/>
  <c r="L179" i="3"/>
  <c r="K181" i="3"/>
  <c r="L177" i="3"/>
  <c r="L191" i="3" s="1"/>
  <c r="K194" i="3"/>
  <c r="K188" i="3"/>
  <c r="F5" i="4"/>
  <c r="F6" i="3"/>
  <c r="F7" i="3"/>
  <c r="J110" i="3"/>
  <c r="J107" i="3"/>
  <c r="C6" i="4"/>
  <c r="C9" i="3"/>
  <c r="C5" i="3"/>
  <c r="D6" i="3" s="1"/>
  <c r="C10" i="3"/>
  <c r="F203" i="2"/>
  <c r="F132" i="2"/>
  <c r="G203" i="2"/>
  <c r="J203" i="3"/>
  <c r="K201" i="3"/>
  <c r="C3" i="4"/>
  <c r="C24" i="4" s="1"/>
  <c r="C31" i="4" s="1"/>
  <c r="C16" i="3"/>
  <c r="C13" i="3"/>
  <c r="C9" i="4" s="1"/>
  <c r="C19" i="3"/>
  <c r="I4" i="3"/>
  <c r="I4" i="4" s="1"/>
  <c r="I200" i="3"/>
  <c r="I199" i="3"/>
  <c r="J198" i="3"/>
  <c r="M73" i="3"/>
  <c r="L75" i="3"/>
  <c r="K169" i="3"/>
  <c r="B78" i="3"/>
  <c r="B71" i="3"/>
  <c r="B3" i="3"/>
  <c r="B10" i="3" s="1"/>
  <c r="B68" i="3"/>
  <c r="B75" i="3"/>
  <c r="B81" i="3"/>
  <c r="E3" i="3"/>
  <c r="E19" i="3" s="1"/>
  <c r="M41" i="3"/>
  <c r="G5" i="4"/>
  <c r="G6" i="3"/>
  <c r="G7" i="3"/>
  <c r="D199" i="3"/>
  <c r="D200" i="3"/>
  <c r="L23" i="3"/>
  <c r="K21" i="3"/>
  <c r="L66" i="3"/>
  <c r="K68" i="3"/>
  <c r="L68" i="3" l="1"/>
  <c r="M66" i="3"/>
  <c r="N167" i="3"/>
  <c r="K141" i="3"/>
  <c r="K135" i="3"/>
  <c r="K134" i="3"/>
  <c r="I5" i="4"/>
  <c r="I7" i="3"/>
  <c r="I6" i="3"/>
  <c r="M121" i="3"/>
  <c r="L115" i="3"/>
  <c r="K144" i="3"/>
  <c r="E3" i="4"/>
  <c r="E24" i="4" s="1"/>
  <c r="E31" i="4" s="1"/>
  <c r="E4" i="3"/>
  <c r="E4" i="4" s="1"/>
  <c r="E16" i="3"/>
  <c r="E13" i="3"/>
  <c r="E9" i="4" s="1"/>
  <c r="E10" i="3"/>
  <c r="J42" i="3"/>
  <c r="J36" i="3"/>
  <c r="J14" i="3"/>
  <c r="J16" i="3" s="1"/>
  <c r="J46" i="3"/>
  <c r="L165" i="3"/>
  <c r="M23" i="3"/>
  <c r="L21" i="3"/>
  <c r="M142" i="3"/>
  <c r="L144" i="3"/>
  <c r="L162" i="3"/>
  <c r="N170" i="3"/>
  <c r="N189" i="3"/>
  <c r="M101" i="3"/>
  <c r="L104" i="3"/>
  <c r="L103" i="3"/>
  <c r="K138" i="3"/>
  <c r="F4" i="3"/>
  <c r="F4" i="4" s="1"/>
  <c r="L129" i="3"/>
  <c r="K131" i="3"/>
  <c r="C5" i="4"/>
  <c r="C6" i="3"/>
  <c r="C7" i="3"/>
  <c r="N69" i="3"/>
  <c r="M71" i="3"/>
  <c r="M72" i="3"/>
  <c r="E7" i="3"/>
  <c r="K45" i="3"/>
  <c r="K48" i="3"/>
  <c r="K35" i="3"/>
  <c r="K22" i="3"/>
  <c r="K3" i="3"/>
  <c r="N182" i="3"/>
  <c r="M185" i="3"/>
  <c r="N160" i="3"/>
  <c r="L172" i="3"/>
  <c r="L210" i="3"/>
  <c r="K212" i="3"/>
  <c r="B5" i="4"/>
  <c r="B7" i="3"/>
  <c r="M136" i="3"/>
  <c r="L138" i="3"/>
  <c r="M179" i="3"/>
  <c r="L181" i="3"/>
  <c r="N132" i="3"/>
  <c r="N163" i="3"/>
  <c r="M166" i="3"/>
  <c r="K203" i="3"/>
  <c r="L201" i="3"/>
  <c r="N73" i="3"/>
  <c r="N75" i="3" s="1"/>
  <c r="M75" i="3"/>
  <c r="K107" i="3"/>
  <c r="K110" i="3"/>
  <c r="L204" i="3"/>
  <c r="K206" i="3"/>
  <c r="N139" i="3"/>
  <c r="B3" i="4"/>
  <c r="B24" i="4" s="1"/>
  <c r="B31" i="4" s="1"/>
  <c r="B19" i="3"/>
  <c r="B13" i="3"/>
  <c r="B9" i="4" s="1"/>
  <c r="B16" i="3"/>
  <c r="J200" i="3"/>
  <c r="K198" i="3"/>
  <c r="M111" i="3"/>
  <c r="M85" i="3"/>
  <c r="L83" i="3"/>
  <c r="L100" i="3" s="1"/>
  <c r="I67" i="4"/>
  <c r="I96" i="2"/>
  <c r="N148" i="3"/>
  <c r="N146" i="3" s="1"/>
  <c r="N175" i="3" s="1"/>
  <c r="M146" i="3"/>
  <c r="M175" i="3" s="1"/>
  <c r="N50" i="3"/>
  <c r="N49" i="3" s="1"/>
  <c r="M49" i="3"/>
  <c r="L169" i="3"/>
  <c r="M98" i="3"/>
  <c r="C4" i="3"/>
  <c r="C4" i="4" s="1"/>
  <c r="N41" i="3"/>
  <c r="M177" i="3"/>
  <c r="M184" i="3" s="1"/>
  <c r="L194" i="3"/>
  <c r="L188" i="3"/>
  <c r="J17" i="3"/>
  <c r="J19" i="3" s="1"/>
  <c r="J38" i="3"/>
  <c r="M81" i="3"/>
  <c r="N79" i="3"/>
  <c r="N81" i="3" s="1"/>
  <c r="N162" i="3" l="1"/>
  <c r="N85" i="3"/>
  <c r="N83" i="3" s="1"/>
  <c r="M83" i="3"/>
  <c r="M162" i="3"/>
  <c r="J44" i="3"/>
  <c r="J43" i="3"/>
  <c r="J11" i="3"/>
  <c r="J13" i="3" s="1"/>
  <c r="N172" i="3"/>
  <c r="N179" i="3"/>
  <c r="M181" i="3"/>
  <c r="N185" i="3"/>
  <c r="I68" i="4"/>
  <c r="I97" i="2"/>
  <c r="N169" i="3"/>
  <c r="K14" i="3"/>
  <c r="K16" i="3" s="1"/>
  <c r="K46" i="3"/>
  <c r="N166" i="3"/>
  <c r="N165" i="3"/>
  <c r="L107" i="3"/>
  <c r="L110" i="3"/>
  <c r="M191" i="3"/>
  <c r="L113" i="3"/>
  <c r="M172" i="3"/>
  <c r="M113" i="3"/>
  <c r="N111" i="3"/>
  <c r="N113" i="3" s="1"/>
  <c r="K200" i="3"/>
  <c r="L198" i="3"/>
  <c r="N136" i="3"/>
  <c r="N138" i="3" s="1"/>
  <c r="M138" i="3"/>
  <c r="L131" i="3"/>
  <c r="M129" i="3"/>
  <c r="N142" i="3"/>
  <c r="M169" i="3"/>
  <c r="N121" i="3"/>
  <c r="N115" i="3" s="1"/>
  <c r="N135" i="3" s="1"/>
  <c r="M115" i="3"/>
  <c r="M210" i="3"/>
  <c r="L212" i="3"/>
  <c r="M104" i="3"/>
  <c r="M103" i="3"/>
  <c r="N101" i="3"/>
  <c r="N71" i="3"/>
  <c r="N72" i="3"/>
  <c r="L203" i="3"/>
  <c r="M201" i="3"/>
  <c r="L48" i="3"/>
  <c r="L45" i="3"/>
  <c r="L35" i="3"/>
  <c r="L22" i="3"/>
  <c r="L3" i="3"/>
  <c r="M68" i="3"/>
  <c r="N66" i="3"/>
  <c r="N68" i="3" s="1"/>
  <c r="M165" i="3"/>
  <c r="N177" i="3"/>
  <c r="M194" i="3"/>
  <c r="M188" i="3"/>
  <c r="L206" i="3"/>
  <c r="M204" i="3"/>
  <c r="N98" i="3"/>
  <c r="N100" i="3" s="1"/>
  <c r="M100" i="3"/>
  <c r="J8" i="3"/>
  <c r="J39" i="3"/>
  <c r="J40" i="3"/>
  <c r="K42" i="3"/>
  <c r="K36" i="3"/>
  <c r="K17" i="3"/>
  <c r="K19" i="3" s="1"/>
  <c r="K38" i="3"/>
  <c r="N23" i="3"/>
  <c r="N21" i="3" s="1"/>
  <c r="M21" i="3"/>
  <c r="L135" i="3"/>
  <c r="L141" i="3"/>
  <c r="L134" i="3"/>
  <c r="M131" i="3" l="1"/>
  <c r="N129" i="3"/>
  <c r="N131" i="3" s="1"/>
  <c r="N194" i="3"/>
  <c r="N188" i="3"/>
  <c r="N181" i="3"/>
  <c r="N191" i="3"/>
  <c r="N104" i="3"/>
  <c r="N103" i="3"/>
  <c r="L200" i="3"/>
  <c r="M198" i="3"/>
  <c r="M134" i="3"/>
  <c r="M135" i="3"/>
  <c r="M141" i="3"/>
  <c r="L36" i="3"/>
  <c r="M206" i="3"/>
  <c r="N204" i="3"/>
  <c r="N206" i="3" s="1"/>
  <c r="L46" i="3"/>
  <c r="L14" i="3"/>
  <c r="L16" i="3" s="1"/>
  <c r="N210" i="3"/>
  <c r="N212" i="3" s="1"/>
  <c r="M212" i="3"/>
  <c r="M22" i="3"/>
  <c r="M35" i="3"/>
  <c r="M48" i="3"/>
  <c r="M3" i="3"/>
  <c r="M45" i="3"/>
  <c r="L17" i="3"/>
  <c r="L19" i="3" s="1"/>
  <c r="L38" i="3"/>
  <c r="M107" i="3"/>
  <c r="M110" i="3"/>
  <c r="J5" i="3"/>
  <c r="J7" i="3" s="1"/>
  <c r="J10" i="3"/>
  <c r="M203" i="3"/>
  <c r="N201" i="3"/>
  <c r="N203" i="3" s="1"/>
  <c r="N134" i="3"/>
  <c r="N110" i="3"/>
  <c r="N107" i="3"/>
  <c r="K43" i="3"/>
  <c r="K44" i="3"/>
  <c r="K11" i="3"/>
  <c r="K13" i="3" s="1"/>
  <c r="N22" i="3"/>
  <c r="N35" i="3"/>
  <c r="N3" i="3"/>
  <c r="N45" i="3"/>
  <c r="N48" i="3"/>
  <c r="N141" i="3"/>
  <c r="N144" i="3"/>
  <c r="K8" i="3"/>
  <c r="K39" i="3"/>
  <c r="K40" i="3"/>
  <c r="M144" i="3"/>
  <c r="N184" i="3"/>
  <c r="M17" i="3" l="1"/>
  <c r="M19" i="3" s="1"/>
  <c r="M38" i="3"/>
  <c r="N17" i="3"/>
  <c r="N19" i="3" s="1"/>
  <c r="N38" i="3"/>
  <c r="L8" i="3"/>
  <c r="L39" i="3"/>
  <c r="L40" i="3"/>
  <c r="M42" i="3"/>
  <c r="M36" i="3"/>
  <c r="N46" i="3"/>
  <c r="N14" i="3"/>
  <c r="N16" i="3" s="1"/>
  <c r="M46" i="3"/>
  <c r="M14" i="3"/>
  <c r="M16" i="3" s="1"/>
  <c r="L42" i="3"/>
  <c r="K5" i="3"/>
  <c r="K7" i="3" s="1"/>
  <c r="K10" i="3"/>
  <c r="N198" i="3"/>
  <c r="N200" i="3" s="1"/>
  <c r="M200" i="3"/>
  <c r="N42" i="3"/>
  <c r="N36" i="3"/>
  <c r="N40" i="3" l="1"/>
  <c r="N39" i="3"/>
  <c r="N8" i="3"/>
  <c r="M44" i="3"/>
  <c r="M11" i="3"/>
  <c r="M13" i="3" s="1"/>
  <c r="M43" i="3"/>
  <c r="N11" i="3"/>
  <c r="N13" i="3" s="1"/>
  <c r="N44" i="3"/>
  <c r="N43" i="3"/>
  <c r="L44" i="3"/>
  <c r="L11" i="3"/>
  <c r="L13" i="3" s="1"/>
  <c r="L43" i="3"/>
  <c r="M40" i="3"/>
  <c r="M39" i="3"/>
  <c r="M8" i="3"/>
  <c r="L10" i="3"/>
  <c r="L5" i="3" l="1"/>
  <c r="L7" i="3" s="1"/>
  <c r="M5" i="3"/>
  <c r="M7" i="3" s="1"/>
  <c r="M10" i="3"/>
  <c r="N5" i="3"/>
  <c r="N7" i="3" s="1"/>
  <c r="N1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3" authorId="0" shapeId="0" xr:uid="{00000000-0006-0000-0100-000001000000}">
      <text>
        <r>
          <rPr>
            <sz val="11"/>
            <color rgb="FF000000"/>
            <rFont val="Calibri"/>
            <family val="2"/>
            <charset val="1"/>
          </rPr>
          <t xml:space="preserve">Dell:
</t>
        </r>
        <r>
          <rPr>
            <sz val="9"/>
            <color rgb="FF000000"/>
            <rFont val="Tahoma"/>
            <family val="2"/>
            <charset val="1"/>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<sst xmlns="http://schemas.openxmlformats.org/spreadsheetml/2006/main" count="558" uniqueCount="209">
  <si>
    <t>Instructions</t>
  </si>
  <si>
    <t xml:space="preserve">Please link the Income statement &amp; Balance Sheet in the "Three Statements" using the data in the "Segmental forecast" sheet and "Historicals" sheet </t>
  </si>
  <si>
    <t>The exercise is to convert the sheet in the company format to the model format in order to build the forecast links</t>
  </si>
  <si>
    <t>Submission time is 3 days from the day the task was given to you</t>
  </si>
  <si>
    <r>
      <rPr>
        <b/>
        <sz val="16"/>
        <color rgb="FFFFFFFF"/>
        <rFont val="Calibri"/>
        <family val="2"/>
        <charset val="1"/>
      </rPr>
      <t xml:space="preserve">NIKE, INC.
</t>
    </r>
    <r>
      <rPr>
        <sz val="11"/>
        <color rgb="FFFFFFFF"/>
        <rFont val="Calibri"/>
        <family val="2"/>
        <charset val="1"/>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</si>
  <si>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</si>
  <si>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</si>
  <si>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</si>
  <si>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</si>
  <si>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</si>
  <si>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</si>
  <si>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</si>
  <si>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</si>
  <si>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</si>
  <si>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</si>
  <si>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</si>
  <si>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</si>
  <si>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</si>
  <si>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</si>
  <si>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</si>
  <si>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</si>
  <si>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</si>
  <si>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</si>
  <si>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</si>
  <si>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</si>
  <si>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</si>
  <si>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</si>
  <si>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</si>
  <si>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</si>
  <si>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</si>
  <si>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</si>
  <si>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</si>
  <si>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</si>
  <si>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</si>
  <si>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</si>
  <si>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</si>
  <si>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</si>
  <si>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</si>
  <si>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</si>
  <si>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</si>
  <si>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</si>
  <si>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</si>
  <si>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</si>
  <si>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</si>
  <si>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</si>
  <si>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</si>
  <si>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</si>
  <si>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</si>
  <si>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</si>
  <si>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</si>
  <si>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</si>
  <si>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</si>
  <si>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</si>
  <si>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</si>
  <si>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</si>
  <si>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</si>
  <si>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</si>
  <si>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</si>
  <si>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</si>
  <si>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</si>
  <si>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</si>
  <si>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</si>
  <si>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</si>
  <si>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</si>
  <si>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</si>
  <si>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</si>
  <si>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</si>
  <si>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</si>
  <si>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</si>
  <si>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</si>
  <si>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</si>
  <si>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</si>
  <si>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</si>
  <si>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</si>
  <si>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</si>
  <si>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</si>
  <si>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</si>
  <si>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</si>
  <si>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</si>
  <si>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</si>
  <si>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Additions to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</si>
  <si>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</si>
  <si>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</si>
  <si>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</si>
  <si>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</si>
  <si>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</si>
  <si>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</si>
  <si>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</si>
  <si>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</si>
  <si>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</si>
  <si>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</si>
  <si>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</si>
  <si>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</si>
  <si>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</si>
  <si>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</si>
  <si>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</si>
  <si>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</si>
  <si>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</si>
  <si>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</si>
  <si>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</si>
  <si>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</si>
  <si>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</si>
  <si>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</si>
  <si>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</si>
  <si>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</si>
  <si>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</si>
  <si>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</si>
  <si>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</si>
  <si>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</si>
  <si>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</si>
  <si>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</si>
  <si>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</si>
  <si>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</si>
  <si>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</si>
  <si>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</si>
  <si>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</si>
  <si>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</si>
  <si>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</si>
  <si>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</si>
  <si>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</si>
  <si>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</si>
  <si>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</si>
  <si>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</si>
  <si>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</si>
  <si>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</si>
  <si>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</si>
  <si>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</si>
  <si>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</si>
  <si>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</si>
  <si>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</si>
  <si>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</si>
  <si>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Group Totals</t>
  </si>
  <si>
    <t>Group Revenue</t>
  </si>
  <si>
    <t>Add up the segment revenues from below</t>
  </si>
  <si>
    <t>Growth %</t>
  </si>
  <si>
    <t>EBITDA</t>
  </si>
  <si>
    <t>Add up the segment EBITDA from below</t>
  </si>
  <si>
    <t>Margin %</t>
  </si>
  <si>
    <t>D&amp;A</t>
  </si>
  <si>
    <t>Add up the segment D&amp;A from below</t>
  </si>
  <si>
    <t>nm</t>
  </si>
  <si>
    <t>As a  % of revenue</t>
  </si>
  <si>
    <t>EBIT</t>
  </si>
  <si>
    <t>EBITDA - D&amp;A</t>
  </si>
  <si>
    <t>Capex</t>
  </si>
  <si>
    <t>Add up the segment Capex from below</t>
  </si>
  <si>
    <t>Property, plant and equipment</t>
  </si>
  <si>
    <t>Add up the segment PPE from below</t>
  </si>
  <si>
    <t>Revenue</t>
  </si>
  <si>
    <t>Organic growth %</t>
  </si>
  <si>
    <t>Currency impact %</t>
  </si>
  <si>
    <t>As a % of PPE</t>
  </si>
  <si>
    <t>Other – Converse</t>
  </si>
  <si>
    <t>Income Statement</t>
  </si>
  <si>
    <t>Link from Segmental Forecast sheet</t>
  </si>
  <si>
    <t>EBTDA</t>
  </si>
  <si>
    <t>PBT</t>
  </si>
  <si>
    <t>Tax rate %</t>
  </si>
  <si>
    <t>Net Income</t>
  </si>
  <si>
    <t>Diluted number of shares</t>
  </si>
  <si>
    <t>Link from Historicals sheet</t>
  </si>
  <si>
    <t>EPS</t>
  </si>
  <si>
    <t>DPS</t>
  </si>
  <si>
    <t>Calculate</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</si>
  <si>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</si>
  <si>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</si>
  <si>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</si>
  <si>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</si>
  <si>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</si>
  <si>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</si>
  <si>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</si>
  <si>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</si>
  <si>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</si>
  <si>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</si>
  <si>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</si>
  <si>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</si>
  <si>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</si>
  <si>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</si>
  <si>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</si>
  <si>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</si>
  <si>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</si>
  <si>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</si>
  <si>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</si>
  <si>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</si>
  <si>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</si>
  <si>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</si>
  <si>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</si>
  <si>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</si>
  <si>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</si>
  <si>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</si>
  <si>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</si>
  <si>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</si>
  <si>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</si>
  <si>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</si>
  <si>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</si>
  <si>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</si>
  <si>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</si>
  <si>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</si>
  <si>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</si>
  <si>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</si>
  <si>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</si>
  <si>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</si>
  <si>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</si>
  <si>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</si>
  <si>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</si>
  <si>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Please ensure all your workings from the previous sheets are carried forward proprly. The total revenue in your segmental forecast sheet is wrong, it does not match the totals in Historicals row 131</t>
  </si>
  <si>
    <t>Should be only Inventory + Receivables - Payables</t>
  </si>
  <si>
    <t>Remove Historicals row 41 from here</t>
  </si>
  <si>
    <t>Please ensure all your workings from the previous sheets are carried forward proprly. The total revenue in your segmental forecast sheet is wrong, it does not match the totals in Historicals row 142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</si>
</sst>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_-;_-@_-"/>
    <numFmt numFmtId="165" formatCode="_(* #,##0.00_);_(* \(#,##0.00\);_(* \-??_);_(@_)"/>
    <numFmt numFmtId="166" formatCode="_(* #,##0_);_(* \(#,##0\);_(* \-??_);_(@_)"/>
    <numFmt numFmtId="167" formatCode="0.0%"/>
    <numFmt numFmtId="168" formatCode="\ * 0\ ;\ * \(0\);\ * \-#\ ;\ @\ "/>
  </numFmts>
  <fonts count="18" x14ac:knownFonts="1">
    <font>
      <sz val="11"/>
      <color rgb="FF000000"/>
      <name val="Calibri"/>
      <family val="2"/>
      <charset val="1"/>
    </font>
    <font>
      <b/>
      <sz val="18"/>
      <color rgb="FFFFFFFF"/>
      <name val="Calibri"/>
      <family val="2"/>
      <charset val="1"/>
    </font>
    <font>
      <b/>
      <sz val="16"/>
      <color rgb="FFFFFFFF"/>
      <name val="Calibri"/>
      <family val="2"/>
      <charset val="1"/>
    </font>
    <font>
      <sz val="11"/>
      <color rgb="FFFFFFFF"/>
      <name val="Calibri"/>
      <family val="2"/>
      <charset val="1"/>
    </font>
    <font>
      <b/>
      <sz val="11"/>
      <color rgb="FFFFFFFF"/>
      <name val="Calibri"/>
      <family val="2"/>
      <charset val="1"/>
    </font>
    <font>
      <b/>
      <sz val="11"/>
      <color rgb="FF000000"/>
      <name val="Calibri"/>
      <family val="2"/>
      <charset val="1"/>
    </font>
    <font>
      <b/>
      <sz val="11"/>
      <color rgb="FFFF0000"/>
      <name val="Calibri"/>
      <family val="2"/>
      <charset val="1"/>
    </font>
    <font>
      <b/>
      <i/>
      <sz val="10"/>
      <color rgb="FF000000"/>
      <name val="Calibri"/>
      <family val="2"/>
      <charset val="1"/>
    </font>
    <font>
      <i/>
      <sz val="10"/>
      <color rgb="FF000000"/>
      <name val="Calibri"/>
      <family val="2"/>
      <charset val="1"/>
    </font>
    <font>
      <sz val="9"/>
      <color rgb="FF000000"/>
      <name val="Tahoma"/>
      <family val="2"/>
      <charset val="1"/>
    </font>
    <font>
      <i/>
      <sz val="9"/>
      <color rgb="FF000000"/>
      <name val="Calibri"/>
      <family val="2"/>
      <charset val="1"/>
    </font>
    <font>
      <i/>
      <sz val="10"/>
      <color rgb="FF002060"/>
      <name val="Calibri"/>
      <family val="2"/>
      <charset val="1"/>
    </font>
    <font>
      <i/>
      <sz val="11"/>
      <color rgb="FF000000"/>
      <name val="Calibri"/>
      <family val="2"/>
      <charset val="1"/>
    </font>
    <font>
      <i/>
      <sz val="9"/>
      <color rgb="FF0070C0"/>
      <name val="Calibri"/>
      <family val="2"/>
      <charset val="1"/>
    </font>
    <font>
      <sz val="11"/>
      <color rgb="FFFF0000"/>
      <name val="Calibri"/>
      <family val="2"/>
      <charset val="1"/>
    </font>
    <font>
      <sz val="11"/>
      <color rgb="FF000000"/>
      <name val="Calibri"/>
      <family val="2"/>
    </font>
    <font>
      <sz val="11"/>
      <color rgb="FF0070C0"/>
      <name val="Calibri"/>
      <family val="2"/>
      <charset val="1"/>
    </font>
    <font>
      <sz val="11"/>
      <color rgb="FF000000"/>
      <name val="Calibri"/>
      <family val="2"/>
      <charset val="1"/>
    </font>
  </fonts>
  <fills count="9">
    <fill>
      <patternFill patternType="none"/>
    </fill>
    <fill>
      <patternFill patternType="gray125"/>
    </fill>
    <fill>
      <patternFill patternType="solid">
        <fgColor rgb="FF4472C4"/>
        <bgColor rgb="FF666699"/>
      </patternFill>
    </fill>
    <fill>
      <patternFill patternType="solid">
        <fgColor rgb="FF8FAADC"/>
        <bgColor rgb="FFADB9CA"/>
      </patternFill>
    </fill>
    <fill>
      <patternFill patternType="solid">
        <fgColor rgb="FF002060"/>
        <bgColor rgb="FF000080"/>
      </patternFill>
    </fill>
    <fill>
      <patternFill patternType="solid">
        <fgColor rgb="FFADB9CA"/>
        <bgColor rgb="FF8FAADC"/>
      </patternFill>
    </fill>
    <fill>
      <patternFill patternType="solid">
        <fgColor rgb="FF8497B0"/>
        <bgColor rgb="FF8FAADC"/>
      </patternFill>
    </fill>
    <fill>
      <patternFill patternType="solid">
        <fgColor rgb="FFEDEDED"/>
        <bgColor rgb="FFDAE3F3"/>
      </patternFill>
    </fill>
    <fill>
      <patternFill patternType="solid">
        <fgColor rgb="FFDAE3F3"/>
        <bgColor rgb="FFEDEDED"/>
      </patternFill>
    </fill>
  </fills>
  <borders count="7">
    <border>
      <left/>
      <right/>
      <top/>
      <bottom/>
      <diagonal/>
    </border>
    <border>
      <left/>
      <right/>
      <top/>
      <bottom style="thin">
        <color auto="1"/>
      </bottom>
      <diagonal/>
    </border>
    <border>
      <left/>
      <right/>
      <top style="thin">
        <color auto="1"/>
      </top>
      <bottom/>
      <diagonal/>
    </border>
    <border>
      <left/>
      <right/>
      <top style="thin">
        <color auto="1"/>
      </top>
      <bottom style="double">
        <color auto="1"/>
      </bottom>
      <diagonal/>
    </border>
    <border>
      <left/>
      <right/>
      <top style="thin">
        <color auto="1"/>
      </top>
      <bottom style="thin">
        <color auto="1"/>
      </bottom>
      <diagonal/>
    </border>
    <border>
      <left/>
      <right/>
      <top style="hair">
        <color auto="1"/>
      </top>
      <bottom/>
      <diagonal/>
    </border>
    <border>
      <left/>
      <right/>
      <top style="hair">
        <color auto="1"/>
      </top>
      <bottom style="hair">
        <color auto="1"/>
      </bottom>
      <diagonal/>
    </border>
  </borders>
  <cellStyleXfs count="6">
    <xf numFmtId="0" fontId="0" fillId="0" borderId="0"/>
    <xf numFmtId="165" fontId="17" fillId="0" borderId="0" applyBorder="0" applyProtection="0"/>
    <xf numFmtId="9" fontId="17" fillId="0" borderId="0" applyBorder="0" applyProtection="0"/>
    <xf numFmtId="164" fontId="17" fillId="0" borderId="0" applyBorder="0" applyProtection="0"/>
    <xf numFmtId="0" fontId="3" fillId="2" borderId="0" applyBorder="0" applyProtection="0"/>
    <xf numFmtId="0" fontId="3" fillId="3" borderId="0" applyBorder="0" applyProtection="0"/>
  </cellStyleXfs>
  <cellXfs count="75">
    <xf numFmtId="0" fontId="0" fillId="0" borderId="0" xfId="0"/>
    <xf numFmtId="0" fontId="0" fillId="0" borderId="0" xfId="0" applyAlignment="1">
      <alignment wrapText="1"/>
    </xf>
    <xf numFmtId="0" fontId="1" fillId="4" borderId="0" xfId="0" applyFont="1" applyFill="1" applyAlignment="1">
      <alignment wrapText="1"/>
    </xf>
    <xf numFmtId="0" fontId="0" fillId="0" borderId="0" xfId="0" applyAlignment="1">
      <alignment horizontal="left" wrapText="1"/>
    </xf>
    <xf numFmtId="0" fontId="0" fillId="0" borderId="0" xfId="0" applyAlignment="1">
      <alignment horizontal="left" wrapText="1" indent="1"/>
    </xf>
    <xf numFmtId="0" fontId="2" fillId="4" borderId="0" xfId="0" applyFont="1" applyFill="1" applyAlignment="1">
      <alignment vertical="center" wrapText="1"/>
    </xf>
    <xf numFmtId="0" fontId="4" fillId="4" borderId="0" xfId="0" applyFont="1" applyFill="1" applyAlignment="1">
      <alignment horizontal="right"/>
    </xf>
    <xf numFmtId="166" fontId="17" fillId="0" borderId="0" xfId="1" applyNumberFormat="1" applyBorder="1" applyProtection="1"/>
    <xf numFmtId="0" fontId="0" fillId="0" borderId="1" xfId="0" applyBorder="1"/>
    <xf numFmtId="166" fontId="17" fillId="0" borderId="1" xfId="1" applyNumberFormat="1" applyBorder="1" applyProtection="1"/>
    <xf numFmtId="0" fontId="5" fillId="0" borderId="0" xfId="0" applyFont="1"/>
    <xf numFmtId="166" fontId="5" fillId="0" borderId="0" xfId="1" applyNumberFormat="1" applyFont="1" applyBorder="1" applyProtection="1"/>
    <xf numFmtId="0" fontId="0" fillId="0" borderId="0" xfId="0" applyAlignment="1">
      <alignment horizontal="left" indent="2"/>
    </xf>
    <xf numFmtId="0" fontId="0" fillId="0" borderId="2" xfId="0" applyBorder="1" applyAlignment="1">
      <alignment horizontal="left" indent="1"/>
    </xf>
    <xf numFmtId="166" fontId="17" fillId="0" borderId="2" xfId="1" applyNumberFormat="1" applyBorder="1" applyProtection="1"/>
    <xf numFmtId="0" fontId="0" fillId="0" borderId="0" xfId="0" applyAlignment="1">
      <alignment horizontal="left" indent="1"/>
    </xf>
    <xf numFmtId="0" fontId="5" fillId="0" borderId="2" xfId="0" applyFont="1" applyBorder="1"/>
    <xf numFmtId="166" fontId="5" fillId="0" borderId="2" xfId="1" applyNumberFormat="1" applyFont="1" applyBorder="1" applyProtection="1"/>
    <xf numFmtId="0" fontId="5" fillId="0" borderId="3" xfId="0" applyFont="1" applyBorder="1"/>
    <xf numFmtId="166" fontId="5" fillId="0" borderId="3" xfId="1" applyNumberFormat="1" applyFont="1" applyBorder="1" applyProtection="1"/>
    <xf numFmtId="3" fontId="0" fillId="0" borderId="0" xfId="0" applyNumberFormat="1"/>
    <xf numFmtId="0" fontId="6" fillId="0" borderId="0" xfId="0" applyFont="1"/>
    <xf numFmtId="166" fontId="6" fillId="0" borderId="0" xfId="0" applyNumberFormat="1" applyFont="1"/>
    <xf numFmtId="0" fontId="5" fillId="5" borderId="0" xfId="0" applyFont="1" applyFill="1" applyAlignment="1">
      <alignment horizontal="center"/>
    </xf>
    <xf numFmtId="0" fontId="5" fillId="0" borderId="0" xfId="0" applyFont="1" applyAlignment="1">
      <alignment horizontal="left" indent="1"/>
    </xf>
    <xf numFmtId="0" fontId="0" fillId="0" borderId="0" xfId="0" applyAlignment="1">
      <alignment horizontal="left" indent="3"/>
    </xf>
    <xf numFmtId="0" fontId="5" fillId="0" borderId="4" xfId="0" applyFont="1" applyBorder="1" applyAlignment="1">
      <alignment horizontal="left"/>
    </xf>
    <xf numFmtId="166" fontId="5" fillId="0" borderId="4" xfId="1" applyNumberFormat="1" applyFont="1" applyBorder="1" applyProtection="1"/>
    <xf numFmtId="0" fontId="5" fillId="0" borderId="4" xfId="0" applyFont="1" applyBorder="1"/>
    <xf numFmtId="0" fontId="5" fillId="0" borderId="0" xfId="0" applyFont="1" applyAlignment="1">
      <alignment horizontal="left"/>
    </xf>
    <xf numFmtId="0" fontId="7" fillId="0" borderId="0" xfId="0" applyFont="1" applyAlignment="1">
      <alignment horizontal="left" indent="1"/>
    </xf>
    <xf numFmtId="167" fontId="7" fillId="0" borderId="0" xfId="2" applyNumberFormat="1" applyFont="1" applyBorder="1" applyProtection="1"/>
    <xf numFmtId="0" fontId="8" fillId="0" borderId="0" xfId="0" applyFont="1" applyAlignment="1">
      <alignment horizontal="left" indent="2"/>
    </xf>
    <xf numFmtId="167" fontId="8" fillId="0" borderId="0" xfId="2" applyNumberFormat="1" applyFont="1" applyBorder="1" applyProtection="1"/>
    <xf numFmtId="167" fontId="7" fillId="0" borderId="1" xfId="2" applyNumberFormat="1" applyFont="1" applyBorder="1" applyProtection="1"/>
    <xf numFmtId="0" fontId="8" fillId="0" borderId="2" xfId="0" applyFont="1" applyBorder="1"/>
    <xf numFmtId="167" fontId="7" fillId="0" borderId="2" xfId="2" applyNumberFormat="1" applyFont="1" applyBorder="1" applyProtection="1"/>
    <xf numFmtId="167" fontId="8" fillId="0" borderId="2" xfId="2" applyNumberFormat="1" applyFont="1" applyBorder="1" applyProtection="1"/>
    <xf numFmtId="0" fontId="8" fillId="0" borderId="0" xfId="0" applyFont="1" applyAlignment="1">
      <alignment horizontal="left" indent="1"/>
    </xf>
    <xf numFmtId="0" fontId="7" fillId="0" borderId="3" xfId="0" applyFont="1" applyBorder="1"/>
    <xf numFmtId="167" fontId="7" fillId="0" borderId="3" xfId="2" applyNumberFormat="1" applyFont="1" applyBorder="1" applyProtection="1"/>
    <xf numFmtId="0" fontId="5" fillId="6" borderId="0" xfId="0" applyFont="1" applyFill="1"/>
    <xf numFmtId="166" fontId="4" fillId="2" borderId="0" xfId="4" applyNumberFormat="1" applyFont="1" applyBorder="1" applyAlignment="1" applyProtection="1">
      <alignment horizontal="left"/>
    </xf>
    <xf numFmtId="166" fontId="10" fillId="0" borderId="0" xfId="1" applyNumberFormat="1" applyFont="1" applyBorder="1" applyAlignment="1" applyProtection="1">
      <alignment horizontal="left" indent="1"/>
    </xf>
    <xf numFmtId="10" fontId="8" fillId="0" borderId="0" xfId="2" applyNumberFormat="1" applyFont="1" applyBorder="1" applyAlignment="1" applyProtection="1">
      <alignment horizontal="right"/>
    </xf>
    <xf numFmtId="167" fontId="8" fillId="0" borderId="0" xfId="2" applyNumberFormat="1" applyFont="1" applyBorder="1" applyAlignment="1" applyProtection="1">
      <alignment horizontal="right"/>
    </xf>
    <xf numFmtId="1" fontId="5" fillId="0" borderId="0" xfId="0" applyNumberFormat="1" applyFont="1"/>
    <xf numFmtId="166" fontId="5" fillId="3" borderId="0" xfId="5" applyNumberFormat="1" applyFont="1" applyBorder="1" applyProtection="1"/>
    <xf numFmtId="166" fontId="10" fillId="0" borderId="0" xfId="1" applyNumberFormat="1" applyFont="1" applyBorder="1" applyAlignment="1" applyProtection="1">
      <alignment horizontal="left" indent="2"/>
    </xf>
    <xf numFmtId="166" fontId="17" fillId="0" borderId="0" xfId="1" applyNumberFormat="1" applyBorder="1" applyAlignment="1" applyProtection="1">
      <alignment horizontal="left" indent="1"/>
    </xf>
    <xf numFmtId="167" fontId="11" fillId="7" borderId="0" xfId="2" applyNumberFormat="1" applyFont="1" applyFill="1" applyBorder="1" applyProtection="1"/>
    <xf numFmtId="166" fontId="5" fillId="0" borderId="0" xfId="0" applyNumberFormat="1" applyFont="1"/>
    <xf numFmtId="167" fontId="0" fillId="0" borderId="0" xfId="0" applyNumberFormat="1"/>
    <xf numFmtId="10" fontId="0" fillId="0" borderId="0" xfId="0" applyNumberFormat="1"/>
    <xf numFmtId="3" fontId="5" fillId="0" borderId="0" xfId="0" applyNumberFormat="1" applyFont="1"/>
    <xf numFmtId="0" fontId="12" fillId="0" borderId="0" xfId="0" applyFont="1"/>
    <xf numFmtId="166" fontId="5" fillId="0" borderId="0" xfId="5" applyNumberFormat="1" applyFont="1" applyFill="1" applyBorder="1" applyProtection="1"/>
    <xf numFmtId="167" fontId="10" fillId="0" borderId="0" xfId="2" applyNumberFormat="1" applyFont="1" applyBorder="1" applyAlignment="1" applyProtection="1">
      <alignment horizontal="right"/>
    </xf>
    <xf numFmtId="166" fontId="17" fillId="0" borderId="0" xfId="1" applyNumberFormat="1" applyBorder="1" applyAlignment="1" applyProtection="1">
      <alignment horizontal="left"/>
    </xf>
    <xf numFmtId="168" fontId="5" fillId="0" borderId="5" xfId="1" applyNumberFormat="1" applyFont="1" applyBorder="1" applyProtection="1"/>
    <xf numFmtId="166" fontId="10" fillId="0" borderId="0" xfId="1" applyNumberFormat="1" applyFont="1" applyBorder="1" applyAlignment="1" applyProtection="1">
      <alignment horizontal="left"/>
    </xf>
    <xf numFmtId="167" fontId="10" fillId="0" borderId="0" xfId="2" applyNumberFormat="1" applyFont="1" applyAlignment="1" applyProtection="1">
      <alignment horizontal="right"/>
    </xf>
    <xf numFmtId="167" fontId="13" fillId="8" borderId="0" xfId="2" applyNumberFormat="1" applyFont="1" applyFill="1" applyBorder="1" applyProtection="1"/>
    <xf numFmtId="165" fontId="17" fillId="0" borderId="0" xfId="1" applyBorder="1" applyProtection="1"/>
    <xf numFmtId="0" fontId="4" fillId="2" borderId="0" xfId="4" applyFont="1" applyBorder="1" applyProtection="1"/>
    <xf numFmtId="0" fontId="0" fillId="0" borderId="0" xfId="0" applyAlignment="1">
      <alignment horizontal="left"/>
    </xf>
    <xf numFmtId="165" fontId="14" fillId="0" borderId="0" xfId="1" applyFont="1" applyBorder="1" applyProtection="1"/>
    <xf numFmtId="168" fontId="5" fillId="0" borderId="0" xfId="1" applyNumberFormat="1" applyFont="1" applyProtection="1"/>
    <xf numFmtId="168" fontId="0" fillId="0" borderId="0" xfId="0" applyNumberFormat="1"/>
    <xf numFmtId="166" fontId="0" fillId="0" borderId="0" xfId="0" applyNumberFormat="1"/>
    <xf numFmtId="168" fontId="17" fillId="0" borderId="0" xfId="1" applyNumberFormat="1" applyProtection="1"/>
    <xf numFmtId="166" fontId="15" fillId="0" borderId="0" xfId="1" applyNumberFormat="1" applyFont="1" applyBorder="1" applyProtection="1"/>
    <xf numFmtId="168" fontId="5" fillId="0" borderId="6" xfId="1" applyNumberFormat="1" applyFont="1" applyBorder="1" applyProtection="1"/>
    <xf numFmtId="166" fontId="16" fillId="0" borderId="0" xfId="1" applyNumberFormat="1" applyFont="1" applyBorder="1" applyProtection="1"/>
    <xf numFmtId="166" fontId="16" fillId="8" borderId="0" xfId="1" applyNumberFormat="1" applyFont="1" applyFill="1" applyBorder="1" applyProtection="1"/>
  </cellXfs>
  <cellStyles count="6">
    <cellStyle name="Comma" xfId="1" builtinId="3"/>
    <cellStyle name="Comma 2" xfId="3" xr:uid="{00000000-0005-0000-0000-000006000000}"/>
    <cellStyle name="Excel Built-in 60% - Accent1" xfId="5" xr:uid="{00000000-0005-0000-0000-000008000000}"/>
    <cellStyle name="Excel Built-in Accent1" xfId="4" xr:uid="{00000000-0005-0000-0000-000007000000}"/>
    <cellStyle name="Normal" xfId="0" builtinId="0"/>
    <cellStyle name="Percent" xfId="2"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808080"/>
      <rgbColor rgb="FF8FAADC"/>
      <rgbColor rgb="FF993366"/>
      <rgbColor rgb="FFEDEDED"/>
      <rgbColor rgb="FFCCFFFF"/>
      <rgbColor rgb="FF660066"/>
      <rgbColor rgb="FFFF8080"/>
      <rgbColor rgb="FF0070C0"/>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FF6600"/>
      <rgbColor rgb="FF666699"/>
      <rgbColor rgb="FF8497B0"/>
      <rgbColor rgb="FF002060"/>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zoomScale="80" zoomScaleNormal="80" workbookViewId="0"/>
  </sheetViews>
  <sheetFormatPr defaultColWidth="8.6640625" defaultRowHeight="14.4" x14ac:dyDescent="0.3"/>
  <cols>
    <col min="1" max="1" width="176.109375" style="1" customWidth="1"/>
  </cols>
  <sheetData>
    <row r="1" spans="1:1" ht="23.4" x14ac:dyDescent="0.45">
      <c r="A1" s="2" t="s">
        <v>0</v>
      </c>
    </row>
    <row r="2" spans="1:1" x14ac:dyDescent="0.3">
      <c r="A2" s="3" t="s">
        <v>1</v>
      </c>
    </row>
    <row r="3" spans="1:1" x14ac:dyDescent="0.3">
      <c r="A3" s="3" t="s">
        <v>2</v>
      </c>
    </row>
    <row r="4" spans="1:1" x14ac:dyDescent="0.3">
      <c r="A4" s="1" t="s">
        <v>3</v>
      </c>
    </row>
    <row r="5" spans="1:1" x14ac:dyDescent="0.3">
      <c r="A5" s="3"/>
    </row>
    <row r="6" spans="1:1" x14ac:dyDescent="0.3">
      <c r="A6" s="3"/>
    </row>
    <row r="9" spans="1:1" x14ac:dyDescent="0.3">
      <c r="A9" s="4"/>
    </row>
    <row r="10" spans="1:1" x14ac:dyDescent="0.3">
      <c r="A10" s="4"/>
    </row>
    <row r="11" spans="1:1" x14ac:dyDescent="0.3">
      <c r="A11" s="4"/>
    </row>
  </sheetData>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3"/>
  <sheetViews>
    <sheetView zoomScale="80" zoomScaleNormal="80" workbookViewId="0">
      <pane ySplit="1" topLeftCell="A120" activePane="bottomLeft" state="frozen"/>
      <selection pane="bottomLeft" activeCell="H154" sqref="H154"/>
    </sheetView>
  </sheetViews>
  <sheetFormatPr defaultColWidth="8.6640625" defaultRowHeight="14.4" x14ac:dyDescent="0.3"/>
  <cols>
    <col min="1" max="1" width="78.109375" customWidth="1"/>
    <col min="2" max="7" width="9" customWidth="1"/>
    <col min="8" max="8" width="10.44140625" customWidth="1"/>
    <col min="9" max="9" width="10.6640625" customWidth="1"/>
  </cols>
  <sheetData>
    <row r="1" spans="1:9" ht="60" customHeight="1" x14ac:dyDescent="0.3">
      <c r="A1" s="5" t="s">
        <v>4</v>
      </c>
      <c r="B1" s="6">
        <f t="shared" ref="B1:H1" si="0">+C1-1</f>
        <v>2015</v>
      </c>
      <c r="C1" s="6">
        <f t="shared" si="0"/>
        <v>2016</v>
      </c>
      <c r="D1" s="6">
        <f t="shared" si="0"/>
        <v>2017</v>
      </c>
      <c r="E1" s="6">
        <f t="shared" si="0"/>
        <v>2018</v>
      </c>
      <c r="F1" s="6">
        <f t="shared" si="0"/>
        <v>2019</v>
      </c>
      <c r="G1" s="6">
        <f t="shared" si="0"/>
        <v>2020</v>
      </c>
      <c r="H1" s="6">
        <f t="shared" si="0"/>
        <v>2021</v>
      </c>
      <c r="I1" s="6">
        <v>2022</v>
      </c>
    </row>
    <row r="2" spans="1:9" x14ac:dyDescent="0.3">
      <c r="A2" t="s">
        <v>5</v>
      </c>
      <c r="B2" s="7">
        <v>30601</v>
      </c>
      <c r="C2" s="7">
        <v>32376</v>
      </c>
      <c r="D2" s="7">
        <v>34350</v>
      </c>
      <c r="E2" s="7">
        <f>36397</f>
        <v>36397</v>
      </c>
      <c r="F2" s="7">
        <v>39117</v>
      </c>
      <c r="G2" s="7">
        <f>37403</f>
        <v>37403</v>
      </c>
      <c r="H2" s="7">
        <v>44538</v>
      </c>
      <c r="I2" s="7">
        <v>46710</v>
      </c>
    </row>
    <row r="3" spans="1:9" x14ac:dyDescent="0.3">
      <c r="A3" s="8" t="s">
        <v>6</v>
      </c>
      <c r="B3" s="9">
        <v>16534</v>
      </c>
      <c r="C3" s="9">
        <v>17405</v>
      </c>
      <c r="D3" s="9">
        <v>19038</v>
      </c>
      <c r="E3" s="9">
        <v>20441</v>
      </c>
      <c r="F3" s="9">
        <v>21643</v>
      </c>
      <c r="G3" s="9">
        <v>21162</v>
      </c>
      <c r="H3" s="9">
        <v>24576</v>
      </c>
      <c r="I3" s="9">
        <v>25231</v>
      </c>
    </row>
    <row r="4" spans="1:9" s="10" customFormat="1" x14ac:dyDescent="0.3">
      <c r="A4" s="10" t="s">
        <v>7</v>
      </c>
      <c r="B4" s="11">
        <f t="shared" ref="B4:I4" si="1">+B2-B3</f>
        <v>14067</v>
      </c>
      <c r="C4" s="11">
        <f t="shared" si="1"/>
        <v>14971</v>
      </c>
      <c r="D4" s="11">
        <f t="shared" si="1"/>
        <v>15312</v>
      </c>
      <c r="E4" s="11">
        <f t="shared" si="1"/>
        <v>15956</v>
      </c>
      <c r="F4" s="11">
        <f t="shared" si="1"/>
        <v>17474</v>
      </c>
      <c r="G4" s="11">
        <f t="shared" si="1"/>
        <v>16241</v>
      </c>
      <c r="H4" s="11">
        <f t="shared" si="1"/>
        <v>19962</v>
      </c>
      <c r="I4" s="11">
        <f t="shared" si="1"/>
        <v>21479</v>
      </c>
    </row>
    <row r="5" spans="1:9" x14ac:dyDescent="0.3">
      <c r="A5" s="12" t="s">
        <v>8</v>
      </c>
      <c r="B5" s="7">
        <v>3213</v>
      </c>
      <c r="C5" s="7">
        <v>3278</v>
      </c>
      <c r="D5" s="7">
        <v>3341</v>
      </c>
      <c r="E5" s="7">
        <v>3577</v>
      </c>
      <c r="F5" s="7">
        <v>3753</v>
      </c>
      <c r="G5" s="7">
        <v>3592</v>
      </c>
      <c r="H5" s="7">
        <v>3114</v>
      </c>
      <c r="I5" s="7">
        <v>3850</v>
      </c>
    </row>
    <row r="6" spans="1:9" x14ac:dyDescent="0.3">
      <c r="A6" s="12" t="s">
        <v>9</v>
      </c>
      <c r="B6" s="7">
        <v>6679</v>
      </c>
      <c r="C6" s="7">
        <v>7191</v>
      </c>
      <c r="D6" s="7">
        <v>7222</v>
      </c>
      <c r="E6" s="7">
        <v>7934</v>
      </c>
      <c r="F6" s="7">
        <v>8949</v>
      </c>
      <c r="G6" s="7">
        <v>9534</v>
      </c>
      <c r="H6" s="7">
        <v>9911</v>
      </c>
      <c r="I6" s="7">
        <v>10954</v>
      </c>
    </row>
    <row r="7" spans="1:9" x14ac:dyDescent="0.3">
      <c r="A7" s="13" t="s">
        <v>10</v>
      </c>
      <c r="B7" s="14">
        <f t="shared" ref="B7:I7" si="2">+B5+B6</f>
        <v>9892</v>
      </c>
      <c r="C7" s="14">
        <f t="shared" si="2"/>
        <v>10469</v>
      </c>
      <c r="D7" s="14">
        <f t="shared" si="2"/>
        <v>10563</v>
      </c>
      <c r="E7" s="14">
        <f t="shared" si="2"/>
        <v>11511</v>
      </c>
      <c r="F7" s="14">
        <f t="shared" si="2"/>
        <v>12702</v>
      </c>
      <c r="G7" s="14">
        <f t="shared" si="2"/>
        <v>13126</v>
      </c>
      <c r="H7" s="14">
        <f t="shared" si="2"/>
        <v>13025</v>
      </c>
      <c r="I7" s="14">
        <f t="shared" si="2"/>
        <v>14804</v>
      </c>
    </row>
    <row r="8" spans="1:9" x14ac:dyDescent="0.3">
      <c r="A8" s="15" t="s">
        <v>11</v>
      </c>
      <c r="B8" s="7">
        <v>28</v>
      </c>
      <c r="C8" s="7">
        <v>19</v>
      </c>
      <c r="D8" s="7">
        <v>59</v>
      </c>
      <c r="E8" s="7">
        <v>54</v>
      </c>
      <c r="F8" s="7">
        <v>49</v>
      </c>
      <c r="G8" s="7">
        <v>89</v>
      </c>
      <c r="H8" s="7">
        <v>262</v>
      </c>
      <c r="I8" s="7">
        <v>205</v>
      </c>
    </row>
    <row r="9" spans="1:9" x14ac:dyDescent="0.3">
      <c r="A9" s="15" t="s">
        <v>12</v>
      </c>
      <c r="B9" s="7">
        <v>-58</v>
      </c>
      <c r="C9" s="7">
        <v>-140</v>
      </c>
      <c r="D9" s="7">
        <v>-196</v>
      </c>
      <c r="E9" s="7">
        <v>66</v>
      </c>
      <c r="F9" s="7">
        <v>-78</v>
      </c>
      <c r="G9" s="7">
        <v>139</v>
      </c>
      <c r="H9" s="7">
        <v>14</v>
      </c>
      <c r="I9" s="7">
        <v>-181</v>
      </c>
    </row>
    <row r="10" spans="1:9" x14ac:dyDescent="0.3">
      <c r="A10" s="16" t="s">
        <v>13</v>
      </c>
      <c r="B10" s="17">
        <f t="shared" ref="B10:I10" si="3">+B4-B7-B8-B9</f>
        <v>4205</v>
      </c>
      <c r="C10" s="17">
        <f t="shared" si="3"/>
        <v>4623</v>
      </c>
      <c r="D10" s="17">
        <f t="shared" si="3"/>
        <v>4886</v>
      </c>
      <c r="E10" s="17">
        <f t="shared" si="3"/>
        <v>4325</v>
      </c>
      <c r="F10" s="17">
        <f t="shared" si="3"/>
        <v>4801</v>
      </c>
      <c r="G10" s="17">
        <f t="shared" si="3"/>
        <v>2887</v>
      </c>
      <c r="H10" s="17">
        <f t="shared" si="3"/>
        <v>6661</v>
      </c>
      <c r="I10" s="17">
        <f t="shared" si="3"/>
        <v>6651</v>
      </c>
    </row>
    <row r="11" spans="1:9" x14ac:dyDescent="0.3">
      <c r="A11" s="15" t="s">
        <v>14</v>
      </c>
      <c r="B11" s="7">
        <v>932</v>
      </c>
      <c r="C11" s="7">
        <v>863</v>
      </c>
      <c r="D11" s="7">
        <v>646</v>
      </c>
      <c r="E11" s="7">
        <v>2392</v>
      </c>
      <c r="F11" s="7">
        <v>772</v>
      </c>
      <c r="G11" s="7">
        <v>348</v>
      </c>
      <c r="H11" s="7">
        <v>934</v>
      </c>
      <c r="I11" s="7">
        <v>605</v>
      </c>
    </row>
    <row r="12" spans="1:9" x14ac:dyDescent="0.3">
      <c r="A12" s="18" t="s">
        <v>15</v>
      </c>
      <c r="B12" s="19">
        <f t="shared" ref="B12:I12" si="4">+B10-B11</f>
        <v>3273</v>
      </c>
      <c r="C12" s="19">
        <f t="shared" si="4"/>
        <v>3760</v>
      </c>
      <c r="D12" s="19">
        <f t="shared" si="4"/>
        <v>4240</v>
      </c>
      <c r="E12" s="19">
        <f t="shared" si="4"/>
        <v>1933</v>
      </c>
      <c r="F12" s="19">
        <f t="shared" si="4"/>
        <v>4029</v>
      </c>
      <c r="G12" s="19">
        <f t="shared" si="4"/>
        <v>2539</v>
      </c>
      <c r="H12" s="19">
        <f t="shared" si="4"/>
        <v>5727</v>
      </c>
      <c r="I12" s="19">
        <f t="shared" si="4"/>
        <v>6046</v>
      </c>
    </row>
    <row r="13" spans="1:9" x14ac:dyDescent="0.3">
      <c r="A13" s="10" t="s">
        <v>16</v>
      </c>
    </row>
    <row r="14" spans="1:9" x14ac:dyDescent="0.3">
      <c r="A14" s="15" t="s">
        <v>17</v>
      </c>
      <c r="B14">
        <v>1.9</v>
      </c>
      <c r="C14">
        <v>2.21</v>
      </c>
      <c r="D14">
        <v>2.56</v>
      </c>
      <c r="E14">
        <v>1.19</v>
      </c>
      <c r="F14">
        <v>2.5499999999999998</v>
      </c>
      <c r="G14">
        <v>1.63</v>
      </c>
      <c r="H14">
        <v>3.64</v>
      </c>
      <c r="I14">
        <v>3.83</v>
      </c>
    </row>
    <row r="15" spans="1:9" x14ac:dyDescent="0.3">
      <c r="A15" s="15" t="s">
        <v>18</v>
      </c>
      <c r="B15">
        <v>1.85</v>
      </c>
      <c r="C15">
        <v>2.16</v>
      </c>
      <c r="D15">
        <v>2.5099999999999998</v>
      </c>
      <c r="E15">
        <v>1.17</v>
      </c>
      <c r="F15">
        <v>2.4900000000000002</v>
      </c>
      <c r="G15">
        <v>1.6</v>
      </c>
      <c r="H15">
        <v>3.56</v>
      </c>
      <c r="I15">
        <v>3.75</v>
      </c>
    </row>
    <row r="16" spans="1:9" x14ac:dyDescent="0.3">
      <c r="A16" s="10" t="s">
        <v>19</v>
      </c>
    </row>
    <row r="17" spans="1:9" x14ac:dyDescent="0.3">
      <c r="A17" s="15" t="s">
        <v>17</v>
      </c>
      <c r="B17">
        <v>1723.5</v>
      </c>
      <c r="C17">
        <v>1697.9</v>
      </c>
      <c r="D17">
        <v>1657.8</v>
      </c>
      <c r="E17">
        <v>1623.8</v>
      </c>
      <c r="F17">
        <v>1579.7</v>
      </c>
      <c r="G17" s="20">
        <v>1558.8</v>
      </c>
      <c r="H17" s="20">
        <v>1573</v>
      </c>
      <c r="I17" s="20">
        <v>1578.8</v>
      </c>
    </row>
    <row r="18" spans="1:9" x14ac:dyDescent="0.3">
      <c r="A18" s="15" t="s">
        <v>18</v>
      </c>
      <c r="B18">
        <v>1768.8</v>
      </c>
      <c r="C18">
        <v>1742.5</v>
      </c>
      <c r="D18">
        <v>1692</v>
      </c>
      <c r="E18">
        <v>1659.1</v>
      </c>
      <c r="F18">
        <v>1618.4</v>
      </c>
      <c r="G18" s="20">
        <v>1591.6</v>
      </c>
      <c r="H18" s="20">
        <v>1609.4</v>
      </c>
      <c r="I18" s="20">
        <v>1610.8</v>
      </c>
    </row>
    <row r="20" spans="1:9" s="21" customFormat="1" x14ac:dyDescent="0.3">
      <c r="A20" s="21" t="s">
        <v>20</v>
      </c>
      <c r="B20" s="22">
        <f t="shared" ref="B20:I20" si="5">+ROUND(((B12/B18)-B15),2)</f>
        <v>0</v>
      </c>
      <c r="C20" s="22">
        <f t="shared" si="5"/>
        <v>0</v>
      </c>
      <c r="D20" s="22">
        <f t="shared" si="5"/>
        <v>0</v>
      </c>
      <c r="E20" s="22">
        <f t="shared" si="5"/>
        <v>0</v>
      </c>
      <c r="F20" s="22">
        <f t="shared" si="5"/>
        <v>0</v>
      </c>
      <c r="G20" s="22">
        <f t="shared" si="5"/>
        <v>0</v>
      </c>
      <c r="H20" s="22">
        <f t="shared" si="5"/>
        <v>0</v>
      </c>
      <c r="I20" s="22">
        <f t="shared" si="5"/>
        <v>0</v>
      </c>
    </row>
    <row r="22" spans="1:9" x14ac:dyDescent="0.3">
      <c r="A22" s="23" t="s">
        <v>21</v>
      </c>
      <c r="B22" s="23"/>
      <c r="C22" s="23"/>
      <c r="D22" s="23"/>
      <c r="E22" s="23"/>
      <c r="F22" s="23"/>
      <c r="G22" s="23"/>
      <c r="H22" s="23"/>
      <c r="I22" s="23"/>
    </row>
    <row r="23" spans="1:9" x14ac:dyDescent="0.3">
      <c r="A23" s="10" t="s">
        <v>22</v>
      </c>
    </row>
    <row r="24" spans="1:9" x14ac:dyDescent="0.3">
      <c r="A24" s="24" t="s">
        <v>23</v>
      </c>
      <c r="B24" s="7"/>
      <c r="C24" s="7"/>
      <c r="D24" s="7"/>
      <c r="E24" s="7"/>
      <c r="F24" s="7"/>
      <c r="G24" s="7"/>
      <c r="H24" s="7"/>
      <c r="I24" s="7"/>
    </row>
    <row r="25" spans="1:9" x14ac:dyDescent="0.3">
      <c r="A25" s="12" t="s">
        <v>24</v>
      </c>
      <c r="B25" s="7">
        <v>3852</v>
      </c>
      <c r="C25" s="7">
        <v>3138</v>
      </c>
      <c r="D25" s="7">
        <v>3808</v>
      </c>
      <c r="E25" s="7">
        <v>4249</v>
      </c>
      <c r="F25" s="7">
        <v>4466</v>
      </c>
      <c r="G25" s="7">
        <v>8348</v>
      </c>
      <c r="H25" s="7">
        <v>9889</v>
      </c>
      <c r="I25" s="7">
        <v>8574</v>
      </c>
    </row>
    <row r="26" spans="1:9" x14ac:dyDescent="0.3">
      <c r="A26" s="12" t="s">
        <v>25</v>
      </c>
      <c r="B26" s="7">
        <v>2072</v>
      </c>
      <c r="C26" s="7">
        <v>2319</v>
      </c>
      <c r="D26" s="7">
        <v>2371</v>
      </c>
      <c r="E26" s="7">
        <v>996</v>
      </c>
      <c r="F26" s="7">
        <v>197</v>
      </c>
      <c r="G26" s="7">
        <v>439</v>
      </c>
      <c r="H26" s="7">
        <v>3587</v>
      </c>
      <c r="I26" s="7">
        <v>4423</v>
      </c>
    </row>
    <row r="27" spans="1:9" x14ac:dyDescent="0.3">
      <c r="A27" s="12" t="s">
        <v>26</v>
      </c>
      <c r="B27" s="7">
        <v>3358</v>
      </c>
      <c r="C27" s="7">
        <v>3241</v>
      </c>
      <c r="D27" s="7">
        <v>3677</v>
      </c>
      <c r="E27" s="7">
        <v>3498</v>
      </c>
      <c r="F27" s="7">
        <v>4272</v>
      </c>
      <c r="G27" s="7">
        <v>2749</v>
      </c>
      <c r="H27" s="7">
        <v>4463</v>
      </c>
      <c r="I27" s="7">
        <v>4667</v>
      </c>
    </row>
    <row r="28" spans="1:9" x14ac:dyDescent="0.3">
      <c r="A28" s="12" t="s">
        <v>27</v>
      </c>
      <c r="B28" s="7">
        <v>4337</v>
      </c>
      <c r="C28" s="7">
        <v>4838</v>
      </c>
      <c r="D28" s="7">
        <v>5055</v>
      </c>
      <c r="E28" s="7">
        <v>5261</v>
      </c>
      <c r="F28" s="7">
        <v>5622</v>
      </c>
      <c r="G28" s="7">
        <v>7367</v>
      </c>
      <c r="H28" s="7">
        <v>6854</v>
      </c>
      <c r="I28" s="7">
        <v>8420</v>
      </c>
    </row>
    <row r="29" spans="1:9" x14ac:dyDescent="0.3">
      <c r="A29" s="12" t="s">
        <v>28</v>
      </c>
      <c r="B29" s="7">
        <v>1968</v>
      </c>
      <c r="C29" s="7">
        <v>1489</v>
      </c>
      <c r="D29" s="7">
        <v>1150</v>
      </c>
      <c r="E29" s="7">
        <v>1130</v>
      </c>
      <c r="F29" s="7">
        <v>1968</v>
      </c>
      <c r="G29" s="7">
        <v>1653</v>
      </c>
      <c r="H29" s="7">
        <v>1498</v>
      </c>
      <c r="I29" s="7">
        <v>2129</v>
      </c>
    </row>
    <row r="30" spans="1:9" x14ac:dyDescent="0.3">
      <c r="A30" s="16" t="s">
        <v>29</v>
      </c>
      <c r="B30" s="17">
        <f t="shared" ref="B30:I30" si="6">+SUM(B25:B29)</f>
        <v>15587</v>
      </c>
      <c r="C30" s="17">
        <f t="shared" si="6"/>
        <v>15025</v>
      </c>
      <c r="D30" s="17">
        <f t="shared" si="6"/>
        <v>16061</v>
      </c>
      <c r="E30" s="17">
        <f t="shared" si="6"/>
        <v>15134</v>
      </c>
      <c r="F30" s="17">
        <f t="shared" si="6"/>
        <v>16525</v>
      </c>
      <c r="G30" s="17">
        <f t="shared" si="6"/>
        <v>20556</v>
      </c>
      <c r="H30" s="17">
        <f t="shared" si="6"/>
        <v>26291</v>
      </c>
      <c r="I30" s="17">
        <f t="shared" si="6"/>
        <v>28213</v>
      </c>
    </row>
    <row r="31" spans="1:9" x14ac:dyDescent="0.3">
      <c r="A31" s="15" t="s">
        <v>30</v>
      </c>
      <c r="B31" s="7">
        <v>3011</v>
      </c>
      <c r="C31" s="7">
        <v>3520</v>
      </c>
      <c r="D31" s="7">
        <v>3989</v>
      </c>
      <c r="E31" s="7">
        <v>4454</v>
      </c>
      <c r="F31" s="7">
        <v>4744</v>
      </c>
      <c r="G31" s="7">
        <v>4866</v>
      </c>
      <c r="H31" s="7">
        <v>4904</v>
      </c>
      <c r="I31" s="7">
        <v>4791</v>
      </c>
    </row>
    <row r="32" spans="1:9" x14ac:dyDescent="0.3">
      <c r="A32" s="15" t="s">
        <v>31</v>
      </c>
      <c r="B32" s="7">
        <v>3</v>
      </c>
      <c r="C32" s="7">
        <v>0</v>
      </c>
      <c r="D32" s="7">
        <v>0</v>
      </c>
      <c r="E32" s="7">
        <v>0</v>
      </c>
      <c r="F32" s="7">
        <v>0</v>
      </c>
      <c r="G32" s="7">
        <v>3097</v>
      </c>
      <c r="H32" s="7">
        <v>3113</v>
      </c>
      <c r="I32" s="7">
        <v>2926</v>
      </c>
    </row>
    <row r="33" spans="1:9" x14ac:dyDescent="0.3">
      <c r="A33" s="15" t="s">
        <v>32</v>
      </c>
      <c r="B33" s="7">
        <v>281</v>
      </c>
      <c r="C33" s="7">
        <v>281</v>
      </c>
      <c r="D33" s="7">
        <v>283</v>
      </c>
      <c r="E33" s="7">
        <v>285</v>
      </c>
      <c r="F33" s="7">
        <v>283</v>
      </c>
      <c r="G33" s="7">
        <v>274</v>
      </c>
      <c r="H33" s="7">
        <v>269</v>
      </c>
      <c r="I33" s="7">
        <v>286</v>
      </c>
    </row>
    <row r="34" spans="1:9" x14ac:dyDescent="0.3">
      <c r="A34" s="15" t="s">
        <v>33</v>
      </c>
      <c r="B34" s="7">
        <v>131</v>
      </c>
      <c r="C34" s="7">
        <v>131</v>
      </c>
      <c r="D34" s="7">
        <v>139</v>
      </c>
      <c r="E34" s="7">
        <v>154</v>
      </c>
      <c r="F34" s="7">
        <v>154</v>
      </c>
      <c r="G34" s="7">
        <v>223</v>
      </c>
      <c r="H34" s="7">
        <v>242</v>
      </c>
      <c r="I34" s="7">
        <v>284</v>
      </c>
    </row>
    <row r="35" spans="1:9" x14ac:dyDescent="0.3">
      <c r="A35" s="15" t="s">
        <v>34</v>
      </c>
      <c r="B35" s="7">
        <v>2587</v>
      </c>
      <c r="C35" s="7">
        <v>2439</v>
      </c>
      <c r="D35" s="7">
        <v>2787</v>
      </c>
      <c r="E35" s="7">
        <v>2509</v>
      </c>
      <c r="F35" s="7">
        <v>2011</v>
      </c>
      <c r="G35" s="7">
        <v>2326</v>
      </c>
      <c r="H35" s="7">
        <v>2921</v>
      </c>
      <c r="I35" s="7">
        <v>3821</v>
      </c>
    </row>
    <row r="36" spans="1:9" x14ac:dyDescent="0.3">
      <c r="A36" s="18" t="s">
        <v>35</v>
      </c>
      <c r="B36" s="19">
        <f t="shared" ref="B36:I36" si="7">+SUM(B30:B35)</f>
        <v>21600</v>
      </c>
      <c r="C36" s="19">
        <f t="shared" si="7"/>
        <v>21396</v>
      </c>
      <c r="D36" s="19">
        <f t="shared" si="7"/>
        <v>23259</v>
      </c>
      <c r="E36" s="19">
        <f t="shared" si="7"/>
        <v>22536</v>
      </c>
      <c r="F36" s="19">
        <f t="shared" si="7"/>
        <v>23717</v>
      </c>
      <c r="G36" s="19">
        <f t="shared" si="7"/>
        <v>31342</v>
      </c>
      <c r="H36" s="19">
        <f t="shared" si="7"/>
        <v>37740</v>
      </c>
      <c r="I36" s="19">
        <f t="shared" si="7"/>
        <v>40321</v>
      </c>
    </row>
    <row r="37" spans="1:9" x14ac:dyDescent="0.3">
      <c r="A37" s="10" t="s">
        <v>36</v>
      </c>
      <c r="B37" s="7"/>
      <c r="C37" s="7"/>
      <c r="D37" s="7"/>
      <c r="E37" s="7"/>
      <c r="F37" s="7"/>
      <c r="G37" s="7"/>
      <c r="H37" s="7"/>
      <c r="I37" s="7"/>
    </row>
    <row r="38" spans="1:9" x14ac:dyDescent="0.3">
      <c r="A38" s="15" t="s">
        <v>37</v>
      </c>
      <c r="B38" s="7"/>
      <c r="C38" s="7"/>
      <c r="D38" s="7"/>
      <c r="E38" s="7"/>
      <c r="F38" s="7"/>
      <c r="G38" s="7"/>
      <c r="H38" s="7"/>
      <c r="I38" s="7"/>
    </row>
    <row r="39" spans="1:9" x14ac:dyDescent="0.3">
      <c r="A39" s="12" t="s">
        <v>38</v>
      </c>
      <c r="B39" s="7">
        <v>107</v>
      </c>
      <c r="C39" s="7">
        <v>44</v>
      </c>
      <c r="D39" s="7">
        <v>6</v>
      </c>
      <c r="E39" s="7">
        <v>6</v>
      </c>
      <c r="F39" s="7">
        <v>6</v>
      </c>
      <c r="G39" s="7">
        <v>3</v>
      </c>
      <c r="H39" s="7">
        <v>0</v>
      </c>
      <c r="I39" s="7">
        <v>500</v>
      </c>
    </row>
    <row r="40" spans="1:9" x14ac:dyDescent="0.3">
      <c r="A40" s="12" t="s">
        <v>39</v>
      </c>
      <c r="B40" s="7">
        <v>74</v>
      </c>
      <c r="C40" s="7">
        <v>1</v>
      </c>
      <c r="D40" s="7">
        <v>325</v>
      </c>
      <c r="E40" s="7">
        <v>336</v>
      </c>
      <c r="F40" s="7">
        <v>9</v>
      </c>
      <c r="G40" s="7">
        <v>248</v>
      </c>
      <c r="H40" s="7">
        <v>2</v>
      </c>
      <c r="I40" s="7">
        <v>10</v>
      </c>
    </row>
    <row r="41" spans="1:9" x14ac:dyDescent="0.3">
      <c r="A41" s="12" t="s">
        <v>40</v>
      </c>
      <c r="B41" s="7">
        <v>2131</v>
      </c>
      <c r="C41" s="7">
        <v>2191</v>
      </c>
      <c r="D41" s="7">
        <v>2048</v>
      </c>
      <c r="E41" s="7">
        <v>2279</v>
      </c>
      <c r="F41" s="7">
        <v>2612</v>
      </c>
      <c r="G41" s="7">
        <v>2248</v>
      </c>
      <c r="H41" s="7">
        <v>2836</v>
      </c>
      <c r="I41" s="7">
        <v>3358</v>
      </c>
    </row>
    <row r="42" spans="1:9" x14ac:dyDescent="0.3">
      <c r="A42" s="12" t="s">
        <v>41</v>
      </c>
      <c r="B42" s="7">
        <v>0</v>
      </c>
      <c r="C42" s="7">
        <v>0</v>
      </c>
      <c r="D42" s="7">
        <v>0</v>
      </c>
      <c r="E42" s="7">
        <v>0</v>
      </c>
      <c r="F42" s="7">
        <v>0</v>
      </c>
      <c r="G42" s="7">
        <v>445</v>
      </c>
      <c r="H42" s="7">
        <v>467</v>
      </c>
      <c r="I42" s="7">
        <v>420</v>
      </c>
    </row>
    <row r="43" spans="1:9" x14ac:dyDescent="0.3">
      <c r="A43" s="12" t="s">
        <v>42</v>
      </c>
      <c r="B43" s="7">
        <v>3949</v>
      </c>
      <c r="C43" s="7">
        <v>3037</v>
      </c>
      <c r="D43" s="7">
        <v>3011</v>
      </c>
      <c r="E43" s="7">
        <v>3269</v>
      </c>
      <c r="F43" s="7">
        <v>5010</v>
      </c>
      <c r="G43" s="7">
        <v>5184</v>
      </c>
      <c r="H43" s="7">
        <v>6063</v>
      </c>
      <c r="I43" s="7">
        <v>6220</v>
      </c>
    </row>
    <row r="44" spans="1:9" x14ac:dyDescent="0.3">
      <c r="A44" s="12" t="s">
        <v>43</v>
      </c>
      <c r="B44" s="7">
        <v>71</v>
      </c>
      <c r="C44" s="7">
        <v>85</v>
      </c>
      <c r="D44" s="7">
        <v>84</v>
      </c>
      <c r="E44" s="7">
        <v>150</v>
      </c>
      <c r="F44" s="7">
        <v>229</v>
      </c>
      <c r="G44" s="7">
        <v>156</v>
      </c>
      <c r="H44" s="7">
        <v>306</v>
      </c>
      <c r="I44" s="7">
        <v>222</v>
      </c>
    </row>
    <row r="45" spans="1:9" x14ac:dyDescent="0.3">
      <c r="A45" s="16" t="s">
        <v>44</v>
      </c>
      <c r="B45" s="17">
        <f t="shared" ref="B45:I45" si="8">+SUM(B39:B44)</f>
        <v>6332</v>
      </c>
      <c r="C45" s="17">
        <f t="shared" si="8"/>
        <v>5358</v>
      </c>
      <c r="D45" s="17">
        <f t="shared" si="8"/>
        <v>5474</v>
      </c>
      <c r="E45" s="17">
        <f t="shared" si="8"/>
        <v>6040</v>
      </c>
      <c r="F45" s="17">
        <f t="shared" si="8"/>
        <v>7866</v>
      </c>
      <c r="G45" s="17">
        <f t="shared" si="8"/>
        <v>8284</v>
      </c>
      <c r="H45" s="17">
        <f t="shared" si="8"/>
        <v>9674</v>
      </c>
      <c r="I45" s="17">
        <f t="shared" si="8"/>
        <v>10730</v>
      </c>
    </row>
    <row r="46" spans="1:9" x14ac:dyDescent="0.3">
      <c r="A46" s="15" t="s">
        <v>45</v>
      </c>
      <c r="B46" s="7">
        <v>1079</v>
      </c>
      <c r="C46" s="7">
        <v>2010</v>
      </c>
      <c r="D46" s="7">
        <v>3471</v>
      </c>
      <c r="E46" s="7">
        <v>3468</v>
      </c>
      <c r="F46" s="7">
        <v>3464</v>
      </c>
      <c r="G46" s="7">
        <v>9406</v>
      </c>
      <c r="H46" s="7">
        <v>9413</v>
      </c>
      <c r="I46" s="7">
        <v>8920</v>
      </c>
    </row>
    <row r="47" spans="1:9" x14ac:dyDescent="0.3">
      <c r="A47" s="15" t="s">
        <v>46</v>
      </c>
      <c r="B47" s="7">
        <v>3</v>
      </c>
      <c r="C47" s="7">
        <v>0</v>
      </c>
      <c r="D47" s="7">
        <v>0</v>
      </c>
      <c r="E47" s="7">
        <v>0</v>
      </c>
      <c r="F47" s="7">
        <v>0</v>
      </c>
      <c r="G47" s="7">
        <v>2913</v>
      </c>
      <c r="H47" s="7">
        <v>2931</v>
      </c>
      <c r="I47" s="7">
        <v>2777</v>
      </c>
    </row>
    <row r="48" spans="1:9" x14ac:dyDescent="0.3">
      <c r="A48" s="15" t="s">
        <v>47</v>
      </c>
      <c r="B48" s="7">
        <v>1479</v>
      </c>
      <c r="C48" s="7">
        <v>1770</v>
      </c>
      <c r="D48" s="7">
        <v>1907</v>
      </c>
      <c r="E48" s="7">
        <v>3216</v>
      </c>
      <c r="F48" s="7">
        <v>3347</v>
      </c>
      <c r="G48" s="7">
        <v>2684</v>
      </c>
      <c r="H48" s="7">
        <v>2955</v>
      </c>
      <c r="I48" s="7">
        <v>2613</v>
      </c>
    </row>
    <row r="49" spans="1:9" x14ac:dyDescent="0.3">
      <c r="A49" s="15" t="s">
        <v>48</v>
      </c>
      <c r="B49" s="7"/>
      <c r="C49" s="7"/>
      <c r="D49" s="7"/>
      <c r="E49" s="7"/>
      <c r="F49" s="7"/>
      <c r="G49" s="7"/>
      <c r="H49" s="7"/>
      <c r="I49" s="7"/>
    </row>
    <row r="50" spans="1:9" x14ac:dyDescent="0.3">
      <c r="A50" s="12" t="s">
        <v>49</v>
      </c>
      <c r="B50" s="7">
        <v>0</v>
      </c>
      <c r="C50" s="7">
        <v>0</v>
      </c>
      <c r="D50" s="7">
        <v>0</v>
      </c>
      <c r="E50" s="7">
        <v>0</v>
      </c>
      <c r="F50" s="7">
        <v>0</v>
      </c>
      <c r="G50" s="7">
        <v>0</v>
      </c>
      <c r="H50" s="7">
        <v>0</v>
      </c>
      <c r="I50" s="7">
        <v>0</v>
      </c>
    </row>
    <row r="51" spans="1:9" x14ac:dyDescent="0.3">
      <c r="A51" s="15" t="s">
        <v>50</v>
      </c>
      <c r="B51" s="7"/>
      <c r="C51" s="7"/>
      <c r="D51" s="7"/>
      <c r="E51" s="7"/>
      <c r="F51" s="7"/>
      <c r="G51" s="7"/>
      <c r="H51" s="7"/>
      <c r="I51" s="7"/>
    </row>
    <row r="52" spans="1:9" x14ac:dyDescent="0.3">
      <c r="A52" s="12" t="s">
        <v>51</v>
      </c>
      <c r="B52" s="7"/>
      <c r="C52" s="7"/>
      <c r="D52" s="7"/>
      <c r="E52" s="7"/>
      <c r="F52" s="7"/>
      <c r="G52" s="7"/>
      <c r="H52" s="7"/>
      <c r="I52" s="7"/>
    </row>
    <row r="53" spans="1:9" x14ac:dyDescent="0.3">
      <c r="A53" s="25" t="s">
        <v>52</v>
      </c>
      <c r="B53" s="7"/>
      <c r="C53" s="7"/>
      <c r="D53" s="7"/>
      <c r="E53" s="7"/>
      <c r="F53" s="7"/>
      <c r="G53" s="7"/>
      <c r="H53" s="7"/>
      <c r="I53" s="7"/>
    </row>
    <row r="54" spans="1:9" x14ac:dyDescent="0.3">
      <c r="A54" s="25" t="s">
        <v>53</v>
      </c>
      <c r="B54" s="7">
        <v>3</v>
      </c>
      <c r="C54" s="7">
        <v>3</v>
      </c>
      <c r="D54" s="7">
        <v>3</v>
      </c>
      <c r="E54" s="7">
        <v>3</v>
      </c>
      <c r="F54" s="7">
        <v>3</v>
      </c>
      <c r="G54" s="7">
        <v>3</v>
      </c>
      <c r="H54" s="7">
        <v>3</v>
      </c>
      <c r="I54" s="7">
        <v>3</v>
      </c>
    </row>
    <row r="55" spans="1:9" x14ac:dyDescent="0.3">
      <c r="A55" s="25" t="s">
        <v>54</v>
      </c>
      <c r="B55" s="7">
        <v>6773</v>
      </c>
      <c r="C55" s="7">
        <v>7786</v>
      </c>
      <c r="D55" s="7">
        <v>5710</v>
      </c>
      <c r="E55" s="7">
        <v>6384</v>
      </c>
      <c r="F55" s="7">
        <v>7163</v>
      </c>
      <c r="G55" s="7">
        <v>8299</v>
      </c>
      <c r="H55" s="7">
        <v>9965</v>
      </c>
      <c r="I55" s="7">
        <v>11484</v>
      </c>
    </row>
    <row r="56" spans="1:9" x14ac:dyDescent="0.3">
      <c r="A56" s="25" t="s">
        <v>55</v>
      </c>
      <c r="B56" s="7">
        <v>1246</v>
      </c>
      <c r="C56" s="7">
        <v>318</v>
      </c>
      <c r="D56" s="7">
        <v>-213</v>
      </c>
      <c r="E56" s="7">
        <v>-92</v>
      </c>
      <c r="F56" s="7">
        <v>231</v>
      </c>
      <c r="G56" s="7">
        <v>-56</v>
      </c>
      <c r="H56" s="7">
        <v>-380</v>
      </c>
      <c r="I56" s="7">
        <v>318</v>
      </c>
    </row>
    <row r="57" spans="1:9" x14ac:dyDescent="0.3">
      <c r="A57" s="25" t="s">
        <v>56</v>
      </c>
      <c r="B57" s="7">
        <v>4685</v>
      </c>
      <c r="C57" s="7">
        <v>4151</v>
      </c>
      <c r="D57" s="7">
        <v>6907</v>
      </c>
      <c r="E57" s="7">
        <v>3517</v>
      </c>
      <c r="F57" s="7">
        <v>1643</v>
      </c>
      <c r="G57" s="7">
        <v>-191</v>
      </c>
      <c r="H57" s="7">
        <v>3179</v>
      </c>
      <c r="I57" s="7">
        <v>3476</v>
      </c>
    </row>
    <row r="58" spans="1:9" x14ac:dyDescent="0.3">
      <c r="A58" s="16" t="s">
        <v>57</v>
      </c>
      <c r="B58" s="17">
        <f t="shared" ref="B58:I58" si="9">+SUM(B53:B57)</f>
        <v>12707</v>
      </c>
      <c r="C58" s="17">
        <f t="shared" si="9"/>
        <v>12258</v>
      </c>
      <c r="D58" s="17">
        <f t="shared" si="9"/>
        <v>12407</v>
      </c>
      <c r="E58" s="17">
        <f t="shared" si="9"/>
        <v>9812</v>
      </c>
      <c r="F58" s="17">
        <f t="shared" si="9"/>
        <v>9040</v>
      </c>
      <c r="G58" s="17">
        <f t="shared" si="9"/>
        <v>8055</v>
      </c>
      <c r="H58" s="17">
        <f t="shared" si="9"/>
        <v>12767</v>
      </c>
      <c r="I58" s="17">
        <f t="shared" si="9"/>
        <v>15281</v>
      </c>
    </row>
    <row r="59" spans="1:9" x14ac:dyDescent="0.3">
      <c r="A59" s="18" t="s">
        <v>58</v>
      </c>
      <c r="B59" s="19">
        <f t="shared" ref="B59:I59" si="10">+SUM(B45:B50)+B58</f>
        <v>21600</v>
      </c>
      <c r="C59" s="19">
        <f t="shared" si="10"/>
        <v>21396</v>
      </c>
      <c r="D59" s="19">
        <f t="shared" si="10"/>
        <v>23259</v>
      </c>
      <c r="E59" s="19">
        <f t="shared" si="10"/>
        <v>22536</v>
      </c>
      <c r="F59" s="19">
        <f t="shared" si="10"/>
        <v>23717</v>
      </c>
      <c r="G59" s="19">
        <f t="shared" si="10"/>
        <v>31342</v>
      </c>
      <c r="H59" s="19">
        <f t="shared" si="10"/>
        <v>37740</v>
      </c>
      <c r="I59" s="19">
        <f t="shared" si="10"/>
        <v>40321</v>
      </c>
    </row>
    <row r="60" spans="1:9" s="21" customFormat="1" x14ac:dyDescent="0.3">
      <c r="A60" s="21" t="s">
        <v>59</v>
      </c>
      <c r="B60" s="22">
        <f t="shared" ref="B60:I60" si="11">+B59-B36</f>
        <v>0</v>
      </c>
      <c r="C60" s="22">
        <f t="shared" si="11"/>
        <v>0</v>
      </c>
      <c r="D60" s="22">
        <f t="shared" si="11"/>
        <v>0</v>
      </c>
      <c r="E60" s="22">
        <f t="shared" si="11"/>
        <v>0</v>
      </c>
      <c r="F60" s="22">
        <f t="shared" si="11"/>
        <v>0</v>
      </c>
      <c r="G60" s="22">
        <f t="shared" si="11"/>
        <v>0</v>
      </c>
      <c r="H60" s="22">
        <f t="shared" si="11"/>
        <v>0</v>
      </c>
      <c r="I60" s="22">
        <f t="shared" si="11"/>
        <v>0</v>
      </c>
    </row>
    <row r="61" spans="1:9" x14ac:dyDescent="0.3">
      <c r="A61" s="23" t="s">
        <v>60</v>
      </c>
      <c r="B61" s="23"/>
      <c r="C61" s="23"/>
      <c r="D61" s="23"/>
      <c r="E61" s="23"/>
      <c r="F61" s="23"/>
      <c r="G61" s="23"/>
      <c r="H61" s="23"/>
      <c r="I61" s="23"/>
    </row>
    <row r="62" spans="1:9" x14ac:dyDescent="0.3">
      <c r="A62" t="s">
        <v>61</v>
      </c>
    </row>
    <row r="63" spans="1:9" x14ac:dyDescent="0.3">
      <c r="A63" s="10" t="s">
        <v>62</v>
      </c>
    </row>
    <row r="64" spans="1:9" s="10" customFormat="1" x14ac:dyDescent="0.3">
      <c r="A64" s="24" t="s">
        <v>63</v>
      </c>
      <c r="B64" s="11">
        <v>3273</v>
      </c>
      <c r="C64" s="11">
        <v>3760</v>
      </c>
      <c r="D64" s="11">
        <v>4240</v>
      </c>
      <c r="E64" s="11">
        <v>1933</v>
      </c>
      <c r="F64" s="11">
        <v>4029</v>
      </c>
      <c r="G64" s="11">
        <v>2539</v>
      </c>
      <c r="H64" s="11">
        <f>+H12</f>
        <v>5727</v>
      </c>
      <c r="I64" s="11">
        <f>+I12</f>
        <v>6046</v>
      </c>
    </row>
    <row r="65" spans="1:9" s="10" customFormat="1" x14ac:dyDescent="0.3">
      <c r="A65" s="15" t="s">
        <v>64</v>
      </c>
      <c r="B65" s="7"/>
      <c r="C65" s="7"/>
      <c r="D65" s="7"/>
      <c r="E65" s="7"/>
      <c r="F65" s="7"/>
      <c r="G65" s="7"/>
      <c r="H65" s="7"/>
      <c r="I65" s="7"/>
    </row>
    <row r="66" spans="1:9" x14ac:dyDescent="0.3">
      <c r="A66" s="12" t="s">
        <v>65</v>
      </c>
      <c r="B66" s="7">
        <v>606</v>
      </c>
      <c r="C66" s="7">
        <v>649</v>
      </c>
      <c r="D66" s="7">
        <v>706</v>
      </c>
      <c r="E66" s="7">
        <v>747</v>
      </c>
      <c r="F66" s="7">
        <v>705</v>
      </c>
      <c r="G66" s="7">
        <v>721</v>
      </c>
      <c r="H66" s="7">
        <v>744</v>
      </c>
      <c r="I66" s="7">
        <v>717</v>
      </c>
    </row>
    <row r="67" spans="1:9" x14ac:dyDescent="0.3">
      <c r="A67" s="12" t="s">
        <v>66</v>
      </c>
      <c r="B67" s="7">
        <v>-113</v>
      </c>
      <c r="C67" s="7">
        <v>-80</v>
      </c>
      <c r="D67" s="7">
        <v>-273</v>
      </c>
      <c r="E67" s="7">
        <v>647</v>
      </c>
      <c r="F67" s="7">
        <v>34</v>
      </c>
      <c r="G67" s="7">
        <v>-380</v>
      </c>
      <c r="H67" s="7">
        <v>-385</v>
      </c>
      <c r="I67" s="7">
        <v>-650</v>
      </c>
    </row>
    <row r="68" spans="1:9" x14ac:dyDescent="0.3">
      <c r="A68" s="12" t="s">
        <v>67</v>
      </c>
      <c r="B68" s="7">
        <v>191</v>
      </c>
      <c r="C68" s="7">
        <v>236</v>
      </c>
      <c r="D68" s="7">
        <v>215</v>
      </c>
      <c r="E68" s="7">
        <v>218</v>
      </c>
      <c r="F68" s="7">
        <v>325</v>
      </c>
      <c r="G68" s="7">
        <v>429</v>
      </c>
      <c r="H68" s="7">
        <v>611</v>
      </c>
      <c r="I68" s="7">
        <v>638</v>
      </c>
    </row>
    <row r="69" spans="1:9" x14ac:dyDescent="0.3">
      <c r="A69" s="12" t="s">
        <v>68</v>
      </c>
      <c r="B69" s="7">
        <v>43</v>
      </c>
      <c r="C69" s="7">
        <v>13</v>
      </c>
      <c r="D69" s="7">
        <v>10</v>
      </c>
      <c r="E69" s="7">
        <v>27</v>
      </c>
      <c r="F69" s="7">
        <v>15</v>
      </c>
      <c r="G69" s="7">
        <v>398</v>
      </c>
      <c r="H69" s="7">
        <v>53</v>
      </c>
      <c r="I69" s="7">
        <v>123</v>
      </c>
    </row>
    <row r="70" spans="1:9" x14ac:dyDescent="0.3">
      <c r="A70" s="12" t="s">
        <v>69</v>
      </c>
      <c r="B70" s="7">
        <v>424</v>
      </c>
      <c r="C70" s="7">
        <v>98</v>
      </c>
      <c r="D70" s="7">
        <v>-117</v>
      </c>
      <c r="E70" s="7">
        <v>-99</v>
      </c>
      <c r="F70" s="7">
        <v>233</v>
      </c>
      <c r="G70" s="7">
        <v>23</v>
      </c>
      <c r="H70" s="7">
        <v>-138</v>
      </c>
      <c r="I70" s="7">
        <v>-26</v>
      </c>
    </row>
    <row r="71" spans="1:9" x14ac:dyDescent="0.3">
      <c r="A71" s="15" t="s">
        <v>70</v>
      </c>
      <c r="B71" s="7"/>
      <c r="C71" s="7"/>
      <c r="D71" s="7"/>
      <c r="E71" s="7"/>
      <c r="F71" s="7"/>
      <c r="G71" s="7"/>
      <c r="H71" s="7"/>
      <c r="I71" s="7"/>
    </row>
    <row r="72" spans="1:9" x14ac:dyDescent="0.3">
      <c r="A72" s="12" t="s">
        <v>71</v>
      </c>
      <c r="B72" s="7">
        <v>-216</v>
      </c>
      <c r="C72" s="7">
        <v>60</v>
      </c>
      <c r="D72" s="7">
        <v>-426</v>
      </c>
      <c r="E72" s="7">
        <v>187</v>
      </c>
      <c r="F72" s="7">
        <v>-270</v>
      </c>
      <c r="G72" s="7">
        <v>1239</v>
      </c>
      <c r="H72" s="7">
        <v>-1606</v>
      </c>
      <c r="I72" s="7">
        <v>-504</v>
      </c>
    </row>
    <row r="73" spans="1:9" x14ac:dyDescent="0.3">
      <c r="A73" s="12" t="s">
        <v>72</v>
      </c>
      <c r="B73" s="7">
        <v>-621</v>
      </c>
      <c r="C73" s="7">
        <v>-590</v>
      </c>
      <c r="D73" s="7">
        <v>-231</v>
      </c>
      <c r="E73" s="7">
        <v>-255</v>
      </c>
      <c r="F73" s="7">
        <v>-490</v>
      </c>
      <c r="G73" s="7">
        <v>-1854</v>
      </c>
      <c r="H73" s="7">
        <v>507</v>
      </c>
      <c r="I73" s="7">
        <v>-1676</v>
      </c>
    </row>
    <row r="74" spans="1:9" x14ac:dyDescent="0.3">
      <c r="A74" s="12" t="s">
        <v>73</v>
      </c>
      <c r="B74" s="7">
        <v>-144</v>
      </c>
      <c r="C74" s="7">
        <v>-161</v>
      </c>
      <c r="D74" s="7">
        <v>-120</v>
      </c>
      <c r="E74" s="7">
        <v>35</v>
      </c>
      <c r="F74" s="7">
        <v>-203</v>
      </c>
      <c r="G74" s="7">
        <v>-654</v>
      </c>
      <c r="H74" s="7">
        <v>-182</v>
      </c>
      <c r="I74" s="7">
        <v>-845</v>
      </c>
    </row>
    <row r="75" spans="1:9" x14ac:dyDescent="0.3">
      <c r="A75" s="12" t="s">
        <v>74</v>
      </c>
      <c r="B75" s="7">
        <v>1237</v>
      </c>
      <c r="C75" s="7">
        <v>-889</v>
      </c>
      <c r="D75" s="7">
        <v>-158</v>
      </c>
      <c r="E75" s="7">
        <v>1515</v>
      </c>
      <c r="F75" s="7">
        <v>1525</v>
      </c>
      <c r="G75" s="7">
        <v>24</v>
      </c>
      <c r="H75" s="7">
        <v>1326</v>
      </c>
      <c r="I75" s="7">
        <v>1365</v>
      </c>
    </row>
    <row r="76" spans="1:9" x14ac:dyDescent="0.3">
      <c r="A76" s="26" t="s">
        <v>75</v>
      </c>
      <c r="B76" s="27">
        <f t="shared" ref="B76:I76" si="12">+SUM(B64:B75)</f>
        <v>4680</v>
      </c>
      <c r="C76" s="27">
        <f t="shared" si="12"/>
        <v>3096</v>
      </c>
      <c r="D76" s="27">
        <f t="shared" si="12"/>
        <v>3846</v>
      </c>
      <c r="E76" s="27">
        <f t="shared" si="12"/>
        <v>4955</v>
      </c>
      <c r="F76" s="27">
        <f t="shared" si="12"/>
        <v>5903</v>
      </c>
      <c r="G76" s="27">
        <f t="shared" si="12"/>
        <v>2485</v>
      </c>
      <c r="H76" s="27">
        <f t="shared" si="12"/>
        <v>6657</v>
      </c>
      <c r="I76" s="27">
        <f t="shared" si="12"/>
        <v>5188</v>
      </c>
    </row>
    <row r="77" spans="1:9" x14ac:dyDescent="0.3">
      <c r="A77" s="10" t="s">
        <v>76</v>
      </c>
      <c r="B77" s="7"/>
      <c r="C77" s="7"/>
      <c r="D77" s="7"/>
      <c r="E77" s="7"/>
      <c r="F77" s="7"/>
      <c r="G77" s="7"/>
      <c r="H77" s="7"/>
      <c r="I77" s="7"/>
    </row>
    <row r="78" spans="1:9" x14ac:dyDescent="0.3">
      <c r="A78" s="15" t="s">
        <v>77</v>
      </c>
      <c r="B78" s="7">
        <v>-4936</v>
      </c>
      <c r="C78" s="7">
        <v>-5367</v>
      </c>
      <c r="D78" s="7">
        <v>-5928</v>
      </c>
      <c r="E78" s="7">
        <v>-4783</v>
      </c>
      <c r="F78" s="7">
        <v>-2937</v>
      </c>
      <c r="G78" s="7">
        <v>-2426</v>
      </c>
      <c r="H78" s="7">
        <v>-9961</v>
      </c>
      <c r="I78" s="7">
        <v>-12913</v>
      </c>
    </row>
    <row r="79" spans="1:9" x14ac:dyDescent="0.3">
      <c r="A79" s="15" t="s">
        <v>78</v>
      </c>
      <c r="B79" s="7">
        <v>3655</v>
      </c>
      <c r="C79" s="7">
        <v>2924</v>
      </c>
      <c r="D79" s="7">
        <v>3623</v>
      </c>
      <c r="E79" s="7">
        <v>3613</v>
      </c>
      <c r="F79" s="7">
        <v>1715</v>
      </c>
      <c r="G79" s="7">
        <v>74</v>
      </c>
      <c r="H79" s="7">
        <v>4236</v>
      </c>
      <c r="I79" s="7">
        <v>8199</v>
      </c>
    </row>
    <row r="80" spans="1:9" x14ac:dyDescent="0.3">
      <c r="A80" s="15" t="s">
        <v>79</v>
      </c>
      <c r="B80" s="7">
        <v>2216</v>
      </c>
      <c r="C80" s="7">
        <v>2386</v>
      </c>
      <c r="D80" s="7">
        <v>2423</v>
      </c>
      <c r="E80" s="7">
        <v>2496</v>
      </c>
      <c r="F80" s="7">
        <v>2072</v>
      </c>
      <c r="G80" s="7">
        <v>2379</v>
      </c>
      <c r="H80" s="7">
        <v>2449</v>
      </c>
      <c r="I80" s="7">
        <v>3967</v>
      </c>
    </row>
    <row r="81" spans="1:9" x14ac:dyDescent="0.3">
      <c r="A81" s="15" t="s">
        <v>80</v>
      </c>
      <c r="B81" s="7">
        <v>-960</v>
      </c>
      <c r="C81" s="7">
        <v>-1133</v>
      </c>
      <c r="D81" s="7">
        <v>-1092</v>
      </c>
      <c r="E81" s="7">
        <v>-1025</v>
      </c>
      <c r="F81" s="7">
        <v>-1119</v>
      </c>
      <c r="G81" s="7">
        <v>-1086</v>
      </c>
      <c r="H81" s="7">
        <v>-695</v>
      </c>
      <c r="I81" s="7">
        <v>-758</v>
      </c>
    </row>
    <row r="82" spans="1:9" x14ac:dyDescent="0.3">
      <c r="A82" s="15" t="s">
        <v>81</v>
      </c>
      <c r="B82" s="7">
        <v>-150</v>
      </c>
      <c r="C82" s="7">
        <v>156</v>
      </c>
      <c r="D82" s="7">
        <v>-34</v>
      </c>
      <c r="E82" s="7">
        <v>-25</v>
      </c>
      <c r="F82" s="7">
        <v>5</v>
      </c>
      <c r="G82" s="7">
        <v>31</v>
      </c>
      <c r="H82" s="7">
        <v>171</v>
      </c>
      <c r="I82" s="7">
        <v>-19</v>
      </c>
    </row>
    <row r="83" spans="1:9" x14ac:dyDescent="0.3">
      <c r="A83" s="28" t="s">
        <v>82</v>
      </c>
      <c r="B83" s="27">
        <f t="shared" ref="B83:I83" si="13">+SUM(B78:B82)</f>
        <v>-175</v>
      </c>
      <c r="C83" s="27">
        <f t="shared" si="13"/>
        <v>-1034</v>
      </c>
      <c r="D83" s="27">
        <f t="shared" si="13"/>
        <v>-1008</v>
      </c>
      <c r="E83" s="27">
        <f t="shared" si="13"/>
        <v>276</v>
      </c>
      <c r="F83" s="27">
        <f t="shared" si="13"/>
        <v>-264</v>
      </c>
      <c r="G83" s="27">
        <f t="shared" si="13"/>
        <v>-1028</v>
      </c>
      <c r="H83" s="27">
        <f t="shared" si="13"/>
        <v>-3800</v>
      </c>
      <c r="I83" s="27">
        <f t="shared" si="13"/>
        <v>-1524</v>
      </c>
    </row>
    <row r="84" spans="1:9" x14ac:dyDescent="0.3">
      <c r="A84" s="10" t="s">
        <v>83</v>
      </c>
      <c r="B84" s="7"/>
      <c r="C84" s="7"/>
      <c r="D84" s="7"/>
      <c r="E84" s="7"/>
      <c r="F84" s="7"/>
      <c r="G84" s="7"/>
      <c r="H84" s="7"/>
      <c r="I84" s="7"/>
    </row>
    <row r="85" spans="1:9" x14ac:dyDescent="0.3">
      <c r="A85" s="15" t="s">
        <v>84</v>
      </c>
      <c r="B85" s="7">
        <v>0</v>
      </c>
      <c r="C85" s="7">
        <v>981</v>
      </c>
      <c r="D85" s="7">
        <v>1482</v>
      </c>
      <c r="E85" s="7">
        <v>0</v>
      </c>
      <c r="F85" s="7">
        <v>0</v>
      </c>
      <c r="G85" s="7">
        <v>6134</v>
      </c>
      <c r="H85" s="7">
        <v>0</v>
      </c>
      <c r="I85" s="7">
        <v>0</v>
      </c>
    </row>
    <row r="86" spans="1:9" x14ac:dyDescent="0.3">
      <c r="A86" s="15" t="s">
        <v>85</v>
      </c>
      <c r="B86" s="7">
        <v>-63</v>
      </c>
      <c r="C86" s="7">
        <v>-67</v>
      </c>
      <c r="D86" s="7">
        <v>327</v>
      </c>
      <c r="E86" s="7">
        <v>13</v>
      </c>
      <c r="F86" s="7">
        <v>-325</v>
      </c>
      <c r="G86" s="7">
        <v>49</v>
      </c>
      <c r="H86" s="7">
        <v>-52</v>
      </c>
      <c r="I86" s="7">
        <v>15</v>
      </c>
    </row>
    <row r="87" spans="1:9" x14ac:dyDescent="0.3">
      <c r="A87" s="15" t="s">
        <v>86</v>
      </c>
      <c r="B87" s="7">
        <v>-26</v>
      </c>
      <c r="C87" s="7">
        <v>-113</v>
      </c>
      <c r="D87" s="7">
        <v>-61</v>
      </c>
      <c r="E87" s="7">
        <v>0</v>
      </c>
      <c r="F87" s="7">
        <v>0</v>
      </c>
      <c r="G87" s="7">
        <v>0</v>
      </c>
      <c r="H87" s="7">
        <v>-197</v>
      </c>
      <c r="I87" s="7">
        <v>0</v>
      </c>
    </row>
    <row r="88" spans="1:9" x14ac:dyDescent="0.3">
      <c r="A88" s="15" t="s">
        <v>87</v>
      </c>
      <c r="B88" s="7">
        <v>514</v>
      </c>
      <c r="C88" s="7">
        <v>507</v>
      </c>
      <c r="D88" s="7">
        <v>489</v>
      </c>
      <c r="E88" s="7">
        <v>733</v>
      </c>
      <c r="F88" s="7">
        <v>700</v>
      </c>
      <c r="G88" s="7">
        <v>885</v>
      </c>
      <c r="H88" s="7">
        <v>1172</v>
      </c>
      <c r="I88" s="7">
        <v>1151</v>
      </c>
    </row>
    <row r="89" spans="1:9" x14ac:dyDescent="0.3">
      <c r="A89" s="15" t="s">
        <v>88</v>
      </c>
      <c r="B89" s="7">
        <v>-2534</v>
      </c>
      <c r="C89" s="7">
        <v>-3238</v>
      </c>
      <c r="D89" s="7">
        <v>-3223</v>
      </c>
      <c r="E89" s="7">
        <v>-4254</v>
      </c>
      <c r="F89" s="7">
        <v>-4286</v>
      </c>
      <c r="G89" s="7">
        <v>-3067</v>
      </c>
      <c r="H89" s="7">
        <v>-608</v>
      </c>
      <c r="I89" s="7">
        <v>-4014</v>
      </c>
    </row>
    <row r="90" spans="1:9" x14ac:dyDescent="0.3">
      <c r="A90" s="15" t="s">
        <v>89</v>
      </c>
      <c r="B90" s="7">
        <v>-899</v>
      </c>
      <c r="C90" s="7">
        <v>-1022</v>
      </c>
      <c r="D90" s="7">
        <v>-1133</v>
      </c>
      <c r="E90" s="7">
        <v>-1243</v>
      </c>
      <c r="F90" s="7">
        <v>-1332</v>
      </c>
      <c r="G90" s="7">
        <v>-1452</v>
      </c>
      <c r="H90" s="7">
        <v>-1638</v>
      </c>
      <c r="I90" s="7">
        <v>-1837</v>
      </c>
    </row>
    <row r="91" spans="1:9" x14ac:dyDescent="0.3">
      <c r="A91" s="15" t="s">
        <v>90</v>
      </c>
      <c r="B91" s="7">
        <v>218</v>
      </c>
      <c r="C91" s="7">
        <v>-22</v>
      </c>
      <c r="D91" s="7">
        <v>-29</v>
      </c>
      <c r="E91" s="7">
        <v>-84</v>
      </c>
      <c r="F91" s="7">
        <v>-50</v>
      </c>
      <c r="G91" s="7">
        <v>-58</v>
      </c>
      <c r="H91" s="7">
        <v>-136</v>
      </c>
      <c r="I91" s="7">
        <v>-151</v>
      </c>
    </row>
    <row r="92" spans="1:9" x14ac:dyDescent="0.3">
      <c r="A92" s="28" t="s">
        <v>91</v>
      </c>
      <c r="B92" s="27">
        <f t="shared" ref="B92:I92" si="14">+SUM(B85:B91)</f>
        <v>-2790</v>
      </c>
      <c r="C92" s="27">
        <f t="shared" si="14"/>
        <v>-2974</v>
      </c>
      <c r="D92" s="27">
        <f t="shared" si="14"/>
        <v>-2148</v>
      </c>
      <c r="E92" s="27">
        <f t="shared" si="14"/>
        <v>-4835</v>
      </c>
      <c r="F92" s="27">
        <f t="shared" si="14"/>
        <v>-5293</v>
      </c>
      <c r="G92" s="27">
        <f t="shared" si="14"/>
        <v>2491</v>
      </c>
      <c r="H92" s="27">
        <f t="shared" si="14"/>
        <v>-1459</v>
      </c>
      <c r="I92" s="27">
        <f t="shared" si="14"/>
        <v>-4836</v>
      </c>
    </row>
    <row r="93" spans="1:9" x14ac:dyDescent="0.3">
      <c r="A93" s="15" t="s">
        <v>92</v>
      </c>
      <c r="B93" s="7">
        <v>-83</v>
      </c>
      <c r="C93" s="7">
        <v>-105</v>
      </c>
      <c r="D93" s="7">
        <v>-20</v>
      </c>
      <c r="E93" s="7">
        <v>45</v>
      </c>
      <c r="F93" s="7">
        <v>-129</v>
      </c>
      <c r="G93" s="7">
        <v>-66</v>
      </c>
      <c r="H93" s="7">
        <v>143</v>
      </c>
      <c r="I93" s="7">
        <v>-143</v>
      </c>
    </row>
    <row r="94" spans="1:9" x14ac:dyDescent="0.3">
      <c r="A94" s="28" t="s">
        <v>93</v>
      </c>
      <c r="B94" s="27">
        <f t="shared" ref="B94:I94" si="15">+B76+B83+B92+B93</f>
        <v>1632</v>
      </c>
      <c r="C94" s="27">
        <f t="shared" si="15"/>
        <v>-1017</v>
      </c>
      <c r="D94" s="27">
        <f t="shared" si="15"/>
        <v>670</v>
      </c>
      <c r="E94" s="27">
        <f t="shared" si="15"/>
        <v>441</v>
      </c>
      <c r="F94" s="27">
        <f t="shared" si="15"/>
        <v>217</v>
      </c>
      <c r="G94" s="27">
        <f t="shared" si="15"/>
        <v>3882</v>
      </c>
      <c r="H94" s="27">
        <f t="shared" si="15"/>
        <v>1541</v>
      </c>
      <c r="I94" s="27">
        <f t="shared" si="15"/>
        <v>-1315</v>
      </c>
    </row>
    <row r="95" spans="1:9" x14ac:dyDescent="0.3">
      <c r="A95" t="s">
        <v>94</v>
      </c>
      <c r="B95" s="7">
        <v>2220</v>
      </c>
      <c r="C95" s="7">
        <v>3852</v>
      </c>
      <c r="D95" s="7">
        <v>3138</v>
      </c>
      <c r="E95" s="7">
        <v>3808</v>
      </c>
      <c r="F95" s="7">
        <v>4249</v>
      </c>
      <c r="G95" s="7">
        <v>4466</v>
      </c>
      <c r="H95" s="7">
        <v>8348</v>
      </c>
      <c r="I95" s="7">
        <f>+H96</f>
        <v>9889</v>
      </c>
    </row>
    <row r="96" spans="1:9" x14ac:dyDescent="0.3">
      <c r="A96" s="18" t="s">
        <v>95</v>
      </c>
      <c r="B96" s="19">
        <v>3852</v>
      </c>
      <c r="C96" s="19">
        <v>3138</v>
      </c>
      <c r="D96" s="19">
        <v>3808</v>
      </c>
      <c r="E96" s="19">
        <v>4249</v>
      </c>
      <c r="F96" s="19">
        <v>4466</v>
      </c>
      <c r="G96" s="19">
        <v>8348</v>
      </c>
      <c r="H96" s="19">
        <f>+H94+H95</f>
        <v>9889</v>
      </c>
      <c r="I96" s="19">
        <f>+I94+I95</f>
        <v>8574</v>
      </c>
    </row>
    <row r="97" spans="1:9" s="21" customFormat="1" x14ac:dyDescent="0.3">
      <c r="A97" s="21" t="s">
        <v>96</v>
      </c>
      <c r="B97" s="22">
        <f t="shared" ref="B97:I97" si="16">+B96-B25</f>
        <v>0</v>
      </c>
      <c r="C97" s="22">
        <f t="shared" si="16"/>
        <v>0</v>
      </c>
      <c r="D97" s="22">
        <f t="shared" si="16"/>
        <v>0</v>
      </c>
      <c r="E97" s="22">
        <f t="shared" si="16"/>
        <v>0</v>
      </c>
      <c r="F97" s="22">
        <f t="shared" si="16"/>
        <v>0</v>
      </c>
      <c r="G97" s="22">
        <f t="shared" si="16"/>
        <v>0</v>
      </c>
      <c r="H97" s="22">
        <f t="shared" si="16"/>
        <v>0</v>
      </c>
      <c r="I97" s="22">
        <f t="shared" si="16"/>
        <v>0</v>
      </c>
    </row>
    <row r="98" spans="1:9" x14ac:dyDescent="0.3">
      <c r="A98" t="s">
        <v>97</v>
      </c>
      <c r="B98" s="7"/>
      <c r="C98" s="7"/>
      <c r="D98" s="7"/>
      <c r="E98" s="7"/>
      <c r="F98" s="7"/>
      <c r="G98" s="7"/>
      <c r="H98" s="7"/>
      <c r="I98" s="7"/>
    </row>
    <row r="99" spans="1:9" x14ac:dyDescent="0.3">
      <c r="A99" s="15" t="s">
        <v>98</v>
      </c>
      <c r="B99" s="7"/>
      <c r="C99" s="7"/>
      <c r="D99" s="7"/>
      <c r="E99" s="7"/>
      <c r="F99" s="7"/>
      <c r="G99" s="7"/>
      <c r="H99" s="7"/>
      <c r="I99" s="7"/>
    </row>
    <row r="100" spans="1:9" x14ac:dyDescent="0.3">
      <c r="A100" s="12" t="s">
        <v>99</v>
      </c>
      <c r="B100" s="7">
        <v>53</v>
      </c>
      <c r="C100" s="7">
        <v>70</v>
      </c>
      <c r="D100" s="7">
        <v>98</v>
      </c>
      <c r="E100" s="7">
        <v>125</v>
      </c>
      <c r="F100" s="7">
        <v>153</v>
      </c>
      <c r="G100" s="7">
        <v>140</v>
      </c>
      <c r="H100" s="7">
        <v>293</v>
      </c>
      <c r="I100" s="7">
        <v>290</v>
      </c>
    </row>
    <row r="101" spans="1:9" x14ac:dyDescent="0.3">
      <c r="A101" s="12" t="s">
        <v>100</v>
      </c>
      <c r="B101" s="7">
        <v>1262</v>
      </c>
      <c r="C101" s="7">
        <v>748</v>
      </c>
      <c r="D101" s="7">
        <v>703</v>
      </c>
      <c r="E101" s="7">
        <v>529</v>
      </c>
      <c r="F101" s="7">
        <v>757</v>
      </c>
      <c r="G101" s="7">
        <v>1028</v>
      </c>
      <c r="H101" s="7">
        <v>1177</v>
      </c>
      <c r="I101" s="7">
        <v>1231</v>
      </c>
    </row>
    <row r="102" spans="1:9" x14ac:dyDescent="0.3">
      <c r="A102" s="12" t="s">
        <v>101</v>
      </c>
      <c r="B102" s="7">
        <v>206</v>
      </c>
      <c r="C102" s="7">
        <v>252</v>
      </c>
      <c r="D102" s="7">
        <v>266</v>
      </c>
      <c r="E102" s="7">
        <v>294</v>
      </c>
      <c r="F102" s="7">
        <v>160</v>
      </c>
      <c r="G102" s="7">
        <v>121</v>
      </c>
      <c r="H102" s="7">
        <v>179</v>
      </c>
      <c r="I102" s="7">
        <v>160</v>
      </c>
    </row>
    <row r="103" spans="1:9" x14ac:dyDescent="0.3">
      <c r="A103" s="12" t="s">
        <v>102</v>
      </c>
      <c r="B103" s="7">
        <v>240</v>
      </c>
      <c r="C103" s="7">
        <v>271</v>
      </c>
      <c r="D103" s="7">
        <v>300</v>
      </c>
      <c r="E103" s="7">
        <v>320</v>
      </c>
      <c r="F103" s="7">
        <v>347</v>
      </c>
      <c r="G103" s="7">
        <v>385</v>
      </c>
      <c r="H103" s="7">
        <v>438</v>
      </c>
      <c r="I103" s="7">
        <v>480</v>
      </c>
    </row>
    <row r="105" spans="1:9" x14ac:dyDescent="0.3">
      <c r="A105" s="23" t="s">
        <v>103</v>
      </c>
      <c r="B105" s="23"/>
      <c r="C105" s="23"/>
      <c r="D105" s="23"/>
      <c r="E105" s="23"/>
      <c r="F105" s="23"/>
      <c r="G105" s="23"/>
      <c r="H105" s="23"/>
      <c r="I105" s="23"/>
    </row>
    <row r="106" spans="1:9" x14ac:dyDescent="0.3">
      <c r="A106" s="29" t="s">
        <v>104</v>
      </c>
      <c r="B106" s="7"/>
      <c r="C106" s="7"/>
      <c r="D106" s="7"/>
      <c r="E106" s="7"/>
      <c r="F106" s="7"/>
      <c r="G106" s="7"/>
      <c r="H106" s="7"/>
      <c r="I106" s="7"/>
    </row>
    <row r="107" spans="1:9" x14ac:dyDescent="0.3">
      <c r="A107" s="15" t="s">
        <v>105</v>
      </c>
      <c r="B107" s="7">
        <v>13740</v>
      </c>
      <c r="C107" s="7">
        <v>14764</v>
      </c>
      <c r="D107" s="7">
        <v>15216</v>
      </c>
      <c r="E107" s="7">
        <v>14855</v>
      </c>
      <c r="F107" s="7">
        <v>15902</v>
      </c>
      <c r="G107" s="7">
        <v>14484</v>
      </c>
      <c r="H107" s="7">
        <f>+SUM(H108:H110)</f>
        <v>17179</v>
      </c>
      <c r="I107" s="7">
        <f>+SUM(I108:I110)</f>
        <v>18353</v>
      </c>
    </row>
    <row r="108" spans="1:9" x14ac:dyDescent="0.3">
      <c r="A108" s="12" t="s">
        <v>106</v>
      </c>
      <c r="B108">
        <v>8506</v>
      </c>
      <c r="C108">
        <v>9299</v>
      </c>
      <c r="D108">
        <v>9684</v>
      </c>
      <c r="E108">
        <v>9322</v>
      </c>
      <c r="F108">
        <v>10045</v>
      </c>
      <c r="G108">
        <v>9329</v>
      </c>
      <c r="H108" s="20">
        <v>11644</v>
      </c>
      <c r="I108" s="20">
        <v>12228</v>
      </c>
    </row>
    <row r="109" spans="1:9" x14ac:dyDescent="0.3">
      <c r="A109" s="12" t="s">
        <v>107</v>
      </c>
      <c r="B109">
        <v>4410</v>
      </c>
      <c r="C109">
        <v>4746</v>
      </c>
      <c r="D109">
        <v>4886</v>
      </c>
      <c r="E109">
        <v>4938</v>
      </c>
      <c r="F109">
        <v>5260</v>
      </c>
      <c r="G109">
        <v>4639</v>
      </c>
      <c r="H109" s="20">
        <v>5028</v>
      </c>
      <c r="I109" s="20">
        <v>5492</v>
      </c>
    </row>
    <row r="110" spans="1:9" x14ac:dyDescent="0.3">
      <c r="A110" s="12" t="s">
        <v>108</v>
      </c>
      <c r="B110">
        <v>824</v>
      </c>
      <c r="C110">
        <v>719</v>
      </c>
      <c r="D110">
        <v>646</v>
      </c>
      <c r="E110">
        <v>595</v>
      </c>
      <c r="F110">
        <v>597</v>
      </c>
      <c r="G110">
        <v>516</v>
      </c>
      <c r="H110">
        <v>507</v>
      </c>
      <c r="I110">
        <v>633</v>
      </c>
    </row>
    <row r="111" spans="1:9" x14ac:dyDescent="0.3">
      <c r="A111" s="15" t="s">
        <v>109</v>
      </c>
      <c r="B111" s="7">
        <f t="shared" ref="B111:I111" si="17">+SUM(B112:B114)</f>
        <v>7126</v>
      </c>
      <c r="C111" s="7">
        <f t="shared" si="17"/>
        <v>7568</v>
      </c>
      <c r="D111" s="7">
        <f t="shared" si="17"/>
        <v>7970</v>
      </c>
      <c r="E111" s="7">
        <f t="shared" si="17"/>
        <v>9242</v>
      </c>
      <c r="F111" s="7">
        <f t="shared" si="17"/>
        <v>9812</v>
      </c>
      <c r="G111" s="7">
        <f t="shared" si="17"/>
        <v>9347</v>
      </c>
      <c r="H111" s="7">
        <f t="shared" si="17"/>
        <v>11456</v>
      </c>
      <c r="I111" s="7">
        <f t="shared" si="17"/>
        <v>12479</v>
      </c>
    </row>
    <row r="112" spans="1:9" x14ac:dyDescent="0.3">
      <c r="A112" s="12" t="s">
        <v>106</v>
      </c>
      <c r="B112">
        <f>3876+827</f>
        <v>4703</v>
      </c>
      <c r="C112">
        <v>5043</v>
      </c>
      <c r="D112">
        <v>5192</v>
      </c>
      <c r="E112">
        <v>5875</v>
      </c>
      <c r="F112">
        <v>6293</v>
      </c>
      <c r="G112">
        <v>5892</v>
      </c>
      <c r="H112" s="20">
        <v>6970</v>
      </c>
      <c r="I112" s="20">
        <v>7388</v>
      </c>
    </row>
    <row r="113" spans="1:9" x14ac:dyDescent="0.3">
      <c r="A113" s="12" t="s">
        <v>107</v>
      </c>
      <c r="B113">
        <f>1552+499</f>
        <v>2051</v>
      </c>
      <c r="C113">
        <v>2149</v>
      </c>
      <c r="D113">
        <v>2395</v>
      </c>
      <c r="E113">
        <v>2940</v>
      </c>
      <c r="F113">
        <v>3087</v>
      </c>
      <c r="G113">
        <v>3053</v>
      </c>
      <c r="H113" s="20">
        <v>3996</v>
      </c>
      <c r="I113" s="20">
        <v>4527</v>
      </c>
    </row>
    <row r="114" spans="1:9" x14ac:dyDescent="0.3">
      <c r="A114" s="12" t="s">
        <v>108</v>
      </c>
      <c r="B114">
        <f>277+95</f>
        <v>372</v>
      </c>
      <c r="C114">
        <v>376</v>
      </c>
      <c r="D114">
        <v>383</v>
      </c>
      <c r="E114">
        <v>427</v>
      </c>
      <c r="F114">
        <v>432</v>
      </c>
      <c r="G114">
        <v>402</v>
      </c>
      <c r="H114">
        <v>490</v>
      </c>
      <c r="I114">
        <v>564</v>
      </c>
    </row>
    <row r="115" spans="1:9" x14ac:dyDescent="0.3">
      <c r="A115" s="15" t="s">
        <v>110</v>
      </c>
      <c r="B115" s="7">
        <v>3067</v>
      </c>
      <c r="C115" s="7">
        <v>3785</v>
      </c>
      <c r="D115" s="7">
        <v>4237</v>
      </c>
      <c r="E115" s="7">
        <v>5134</v>
      </c>
      <c r="F115" s="7">
        <v>6208</v>
      </c>
      <c r="G115" s="7">
        <v>6679</v>
      </c>
      <c r="H115" s="7">
        <f>+SUM(H116:H118)</f>
        <v>8290</v>
      </c>
      <c r="I115" s="7">
        <f>+SUM(I116:I118)</f>
        <v>7547</v>
      </c>
    </row>
    <row r="116" spans="1:9" x14ac:dyDescent="0.3">
      <c r="A116" s="12" t="s">
        <v>106</v>
      </c>
      <c r="B116">
        <v>2016</v>
      </c>
      <c r="C116">
        <v>2599</v>
      </c>
      <c r="D116">
        <v>2920</v>
      </c>
      <c r="E116">
        <v>3496</v>
      </c>
      <c r="F116">
        <v>4262</v>
      </c>
      <c r="G116">
        <v>4635</v>
      </c>
      <c r="H116" s="20">
        <v>5748</v>
      </c>
      <c r="I116" s="20">
        <v>5416</v>
      </c>
    </row>
    <row r="117" spans="1:9" x14ac:dyDescent="0.3">
      <c r="A117" s="12" t="s">
        <v>107</v>
      </c>
      <c r="B117">
        <v>925</v>
      </c>
      <c r="C117">
        <v>1055</v>
      </c>
      <c r="D117">
        <v>1188</v>
      </c>
      <c r="E117">
        <v>1508</v>
      </c>
      <c r="F117">
        <v>1808</v>
      </c>
      <c r="G117">
        <v>1896</v>
      </c>
      <c r="H117" s="20">
        <v>2347</v>
      </c>
      <c r="I117" s="20">
        <v>1938</v>
      </c>
    </row>
    <row r="118" spans="1:9" x14ac:dyDescent="0.3">
      <c r="A118" s="12" t="s">
        <v>108</v>
      </c>
      <c r="B118">
        <v>126</v>
      </c>
      <c r="C118">
        <v>131</v>
      </c>
      <c r="D118">
        <v>129</v>
      </c>
      <c r="E118">
        <v>130</v>
      </c>
      <c r="F118">
        <v>138</v>
      </c>
      <c r="G118">
        <v>148</v>
      </c>
      <c r="H118">
        <v>195</v>
      </c>
      <c r="I118">
        <v>193</v>
      </c>
    </row>
    <row r="119" spans="1:9" x14ac:dyDescent="0.3">
      <c r="A119" s="15" t="s">
        <v>111</v>
      </c>
      <c r="B119" s="7">
        <f t="shared" ref="B119:I119" si="18">+SUM(B120:B122)</f>
        <v>4653</v>
      </c>
      <c r="C119" s="7">
        <f t="shared" si="18"/>
        <v>4317</v>
      </c>
      <c r="D119" s="7">
        <f t="shared" si="18"/>
        <v>4737</v>
      </c>
      <c r="E119" s="7">
        <f t="shared" si="18"/>
        <v>5166</v>
      </c>
      <c r="F119" s="7">
        <f t="shared" si="18"/>
        <v>5254</v>
      </c>
      <c r="G119" s="7">
        <f t="shared" si="18"/>
        <v>5028</v>
      </c>
      <c r="H119" s="7">
        <f t="shared" si="18"/>
        <v>5343</v>
      </c>
      <c r="I119" s="7">
        <f t="shared" si="18"/>
        <v>5955</v>
      </c>
    </row>
    <row r="120" spans="1:9" x14ac:dyDescent="0.3">
      <c r="A120" s="12" t="s">
        <v>106</v>
      </c>
      <c r="B120">
        <v>3093</v>
      </c>
      <c r="C120">
        <v>2930</v>
      </c>
      <c r="D120">
        <v>3285</v>
      </c>
      <c r="E120">
        <v>3575</v>
      </c>
      <c r="F120">
        <v>3622</v>
      </c>
      <c r="G120">
        <v>3449</v>
      </c>
      <c r="H120" s="20">
        <v>3659</v>
      </c>
      <c r="I120" s="20">
        <v>4111</v>
      </c>
    </row>
    <row r="121" spans="1:9" x14ac:dyDescent="0.3">
      <c r="A121" s="12" t="s">
        <v>107</v>
      </c>
      <c r="B121">
        <v>1251</v>
      </c>
      <c r="C121">
        <v>1117</v>
      </c>
      <c r="D121">
        <v>1185</v>
      </c>
      <c r="E121">
        <v>1347</v>
      </c>
      <c r="F121">
        <v>1395</v>
      </c>
      <c r="G121">
        <v>1365</v>
      </c>
      <c r="H121" s="20">
        <v>1494</v>
      </c>
      <c r="I121" s="20">
        <v>1610</v>
      </c>
    </row>
    <row r="122" spans="1:9" x14ac:dyDescent="0.3">
      <c r="A122" s="12" t="s">
        <v>108</v>
      </c>
      <c r="B122">
        <v>309</v>
      </c>
      <c r="C122">
        <v>270</v>
      </c>
      <c r="D122">
        <v>267</v>
      </c>
      <c r="E122">
        <v>244</v>
      </c>
      <c r="F122">
        <v>237</v>
      </c>
      <c r="G122">
        <v>214</v>
      </c>
      <c r="H122">
        <v>190</v>
      </c>
      <c r="I122">
        <v>234</v>
      </c>
    </row>
    <row r="123" spans="1:9" x14ac:dyDescent="0.3">
      <c r="A123" s="15" t="s">
        <v>112</v>
      </c>
      <c r="B123" s="7">
        <v>115</v>
      </c>
      <c r="C123" s="7">
        <v>73</v>
      </c>
      <c r="D123" s="7">
        <v>73</v>
      </c>
      <c r="E123" s="7">
        <v>88</v>
      </c>
      <c r="F123" s="7">
        <v>42</v>
      </c>
      <c r="G123" s="7">
        <v>30</v>
      </c>
      <c r="H123" s="7">
        <v>25</v>
      </c>
      <c r="I123" s="7">
        <v>102</v>
      </c>
    </row>
    <row r="124" spans="1:9" x14ac:dyDescent="0.3">
      <c r="A124" s="16" t="s">
        <v>113</v>
      </c>
      <c r="B124" s="17">
        <f t="shared" ref="B124:I124" si="19">+B107+B111+B115+B119+B123</f>
        <v>28701</v>
      </c>
      <c r="C124" s="17">
        <f t="shared" si="19"/>
        <v>30507</v>
      </c>
      <c r="D124" s="17">
        <f t="shared" si="19"/>
        <v>32233</v>
      </c>
      <c r="E124" s="17">
        <f t="shared" si="19"/>
        <v>34485</v>
      </c>
      <c r="F124" s="17">
        <f t="shared" si="19"/>
        <v>37218</v>
      </c>
      <c r="G124" s="17">
        <f t="shared" si="19"/>
        <v>35568</v>
      </c>
      <c r="H124" s="17">
        <f t="shared" si="19"/>
        <v>42293</v>
      </c>
      <c r="I124" s="17">
        <f t="shared" si="19"/>
        <v>44436</v>
      </c>
    </row>
    <row r="125" spans="1:9" x14ac:dyDescent="0.3">
      <c r="A125" s="15" t="s">
        <v>114</v>
      </c>
      <c r="B125" s="7">
        <v>1982</v>
      </c>
      <c r="C125" s="7">
        <v>1955</v>
      </c>
      <c r="D125" s="7">
        <v>2042</v>
      </c>
      <c r="E125" s="7">
        <v>1886</v>
      </c>
      <c r="F125" s="7">
        <v>1906</v>
      </c>
      <c r="G125" s="7">
        <v>1846</v>
      </c>
      <c r="H125" s="7">
        <f>+SUM(H126:H129)</f>
        <v>2205</v>
      </c>
      <c r="I125" s="7">
        <f>+SUM(I126:I129)</f>
        <v>2346</v>
      </c>
    </row>
    <row r="126" spans="1:9" x14ac:dyDescent="0.3">
      <c r="A126" s="12" t="s">
        <v>106</v>
      </c>
      <c r="B126" s="7">
        <v>18318</v>
      </c>
      <c r="C126" s="7">
        <v>19871</v>
      </c>
      <c r="D126" s="7">
        <v>21081</v>
      </c>
      <c r="E126" s="7">
        <v>22268</v>
      </c>
      <c r="F126" s="7">
        <v>25880</v>
      </c>
      <c r="G126" s="7">
        <v>24947</v>
      </c>
      <c r="H126" s="7">
        <v>1986</v>
      </c>
      <c r="I126" s="7">
        <v>2094</v>
      </c>
    </row>
    <row r="127" spans="1:9" x14ac:dyDescent="0.3">
      <c r="A127" s="12" t="s">
        <v>107</v>
      </c>
      <c r="B127" s="7">
        <v>8637</v>
      </c>
      <c r="C127" s="7">
        <v>9067</v>
      </c>
      <c r="D127" s="7">
        <v>9654</v>
      </c>
      <c r="E127" s="7">
        <v>10733</v>
      </c>
      <c r="F127" s="7">
        <v>11668</v>
      </c>
      <c r="G127" s="7">
        <v>11042</v>
      </c>
      <c r="H127" s="7">
        <v>104</v>
      </c>
      <c r="I127" s="7">
        <v>103</v>
      </c>
    </row>
    <row r="128" spans="1:9" x14ac:dyDescent="0.3">
      <c r="A128" s="12" t="s">
        <v>108</v>
      </c>
      <c r="B128" s="7">
        <v>1631</v>
      </c>
      <c r="C128" s="7">
        <v>1496</v>
      </c>
      <c r="D128" s="7">
        <v>1425</v>
      </c>
      <c r="E128" s="7">
        <v>1396</v>
      </c>
      <c r="F128" s="7">
        <v>1428</v>
      </c>
      <c r="G128" s="7">
        <v>1305</v>
      </c>
      <c r="H128" s="7">
        <v>29</v>
      </c>
      <c r="I128" s="7">
        <v>26</v>
      </c>
    </row>
    <row r="129" spans="1:9" x14ac:dyDescent="0.3">
      <c r="A129" s="12" t="s">
        <v>115</v>
      </c>
      <c r="B129" s="7">
        <v>2015</v>
      </c>
      <c r="C129" s="7">
        <v>1942</v>
      </c>
      <c r="D129" s="7">
        <v>2190</v>
      </c>
      <c r="E129" s="7">
        <v>2000</v>
      </c>
      <c r="F129" s="7">
        <v>141</v>
      </c>
      <c r="G129" s="7">
        <v>109</v>
      </c>
      <c r="H129" s="7">
        <v>86</v>
      </c>
      <c r="I129" s="7">
        <v>123</v>
      </c>
    </row>
    <row r="130" spans="1:9" x14ac:dyDescent="0.3">
      <c r="A130" s="15" t="s">
        <v>116</v>
      </c>
      <c r="B130" s="7">
        <v>-82</v>
      </c>
      <c r="C130" s="7">
        <v>-86</v>
      </c>
      <c r="D130" s="7">
        <v>75</v>
      </c>
      <c r="E130" s="7">
        <v>26</v>
      </c>
      <c r="F130" s="7">
        <v>-7</v>
      </c>
      <c r="G130" s="7">
        <v>-11</v>
      </c>
      <c r="H130" s="7">
        <v>40</v>
      </c>
      <c r="I130" s="7">
        <v>-72</v>
      </c>
    </row>
    <row r="131" spans="1:9" x14ac:dyDescent="0.3">
      <c r="A131" s="18" t="s">
        <v>117</v>
      </c>
      <c r="B131" s="19">
        <f t="shared" ref="B131:I131" si="20">+B124+B125+B130</f>
        <v>30601</v>
      </c>
      <c r="C131" s="19">
        <f t="shared" si="20"/>
        <v>32376</v>
      </c>
      <c r="D131" s="19">
        <f t="shared" si="20"/>
        <v>34350</v>
      </c>
      <c r="E131" s="19">
        <f t="shared" si="20"/>
        <v>36397</v>
      </c>
      <c r="F131" s="19">
        <f t="shared" si="20"/>
        <v>39117</v>
      </c>
      <c r="G131" s="19">
        <f t="shared" si="20"/>
        <v>37403</v>
      </c>
      <c r="H131" s="19">
        <f t="shared" si="20"/>
        <v>44538</v>
      </c>
      <c r="I131" s="19">
        <f t="shared" si="20"/>
        <v>46710</v>
      </c>
    </row>
    <row r="132" spans="1:9" s="21" customFormat="1" x14ac:dyDescent="0.3">
      <c r="A132" s="21" t="s">
        <v>118</v>
      </c>
      <c r="B132" s="22">
        <f>+I131-I2</f>
        <v>0</v>
      </c>
      <c r="C132" s="22">
        <f t="shared" ref="C132:H132" si="21">+C131-C2</f>
        <v>0</v>
      </c>
      <c r="D132" s="22">
        <f t="shared" si="21"/>
        <v>0</v>
      </c>
      <c r="E132" s="22">
        <f t="shared" si="21"/>
        <v>0</v>
      </c>
      <c r="F132" s="22">
        <f t="shared" si="21"/>
        <v>0</v>
      </c>
      <c r="G132" s="22">
        <f t="shared" si="21"/>
        <v>0</v>
      </c>
      <c r="H132" s="22">
        <f t="shared" si="21"/>
        <v>0</v>
      </c>
    </row>
    <row r="133" spans="1:9" x14ac:dyDescent="0.3">
      <c r="A133" s="10" t="s">
        <v>119</v>
      </c>
    </row>
    <row r="134" spans="1:9" x14ac:dyDescent="0.3">
      <c r="A134" s="15" t="s">
        <v>105</v>
      </c>
      <c r="B134" s="7">
        <v>3645</v>
      </c>
      <c r="C134" s="7">
        <v>3763</v>
      </c>
      <c r="D134" s="7">
        <v>3875</v>
      </c>
      <c r="E134" s="7">
        <v>3600</v>
      </c>
      <c r="F134" s="7">
        <v>3925</v>
      </c>
      <c r="G134" s="7">
        <v>2899</v>
      </c>
      <c r="H134" s="7">
        <v>5089</v>
      </c>
      <c r="I134" s="7">
        <v>5114</v>
      </c>
    </row>
    <row r="135" spans="1:9" x14ac:dyDescent="0.3">
      <c r="A135" s="15" t="s">
        <v>109</v>
      </c>
      <c r="B135" s="7">
        <v>1524</v>
      </c>
      <c r="C135" s="7">
        <v>1787</v>
      </c>
      <c r="D135" s="7">
        <v>1507</v>
      </c>
      <c r="E135" s="7">
        <v>1587</v>
      </c>
      <c r="F135" s="7">
        <v>1995</v>
      </c>
      <c r="G135" s="7">
        <v>1541</v>
      </c>
      <c r="H135" s="7">
        <v>2435</v>
      </c>
      <c r="I135" s="7">
        <v>3293</v>
      </c>
    </row>
    <row r="136" spans="1:9" x14ac:dyDescent="0.3">
      <c r="A136" s="15" t="s">
        <v>110</v>
      </c>
      <c r="B136" s="7">
        <v>993</v>
      </c>
      <c r="C136" s="7">
        <v>1372</v>
      </c>
      <c r="D136" s="7">
        <v>1507</v>
      </c>
      <c r="E136" s="7">
        <v>1807</v>
      </c>
      <c r="F136" s="7">
        <v>2376</v>
      </c>
      <c r="G136" s="7">
        <v>2490</v>
      </c>
      <c r="H136" s="7">
        <v>3243</v>
      </c>
      <c r="I136" s="7">
        <v>2365</v>
      </c>
    </row>
    <row r="137" spans="1:9" x14ac:dyDescent="0.3">
      <c r="A137" s="15" t="s">
        <v>111</v>
      </c>
      <c r="B137" s="7">
        <v>918</v>
      </c>
      <c r="C137" s="7">
        <v>1002</v>
      </c>
      <c r="D137" s="7">
        <v>980</v>
      </c>
      <c r="E137" s="7">
        <v>1189</v>
      </c>
      <c r="F137" s="7">
        <v>1323</v>
      </c>
      <c r="G137" s="7">
        <v>1184</v>
      </c>
      <c r="H137" s="7">
        <v>1530</v>
      </c>
      <c r="I137" s="7">
        <v>1896</v>
      </c>
    </row>
    <row r="138" spans="1:9" x14ac:dyDescent="0.3">
      <c r="A138" s="15" t="s">
        <v>112</v>
      </c>
      <c r="B138" s="7">
        <v>-2267</v>
      </c>
      <c r="C138" s="7">
        <v>-2596</v>
      </c>
      <c r="D138" s="7">
        <v>-2677</v>
      </c>
      <c r="E138" s="7">
        <v>-2658</v>
      </c>
      <c r="F138" s="7">
        <v>-3262</v>
      </c>
      <c r="G138" s="7">
        <v>-3468</v>
      </c>
      <c r="H138" s="7">
        <v>-3656</v>
      </c>
      <c r="I138" s="7">
        <v>-4262</v>
      </c>
    </row>
    <row r="139" spans="1:9" x14ac:dyDescent="0.3">
      <c r="A139" s="16" t="s">
        <v>113</v>
      </c>
      <c r="B139" s="17">
        <f t="shared" ref="B139:I139" si="22">+SUM(B134:B138)</f>
        <v>4813</v>
      </c>
      <c r="C139" s="17">
        <f t="shared" si="22"/>
        <v>5328</v>
      </c>
      <c r="D139" s="17">
        <f t="shared" si="22"/>
        <v>5192</v>
      </c>
      <c r="E139" s="17">
        <f t="shared" si="22"/>
        <v>5525</v>
      </c>
      <c r="F139" s="17">
        <f t="shared" si="22"/>
        <v>6357</v>
      </c>
      <c r="G139" s="17">
        <f t="shared" si="22"/>
        <v>4646</v>
      </c>
      <c r="H139" s="17">
        <f t="shared" si="22"/>
        <v>8641</v>
      </c>
      <c r="I139" s="17">
        <f t="shared" si="22"/>
        <v>8406</v>
      </c>
    </row>
    <row r="140" spans="1:9" x14ac:dyDescent="0.3">
      <c r="A140" s="15" t="s">
        <v>114</v>
      </c>
      <c r="B140" s="7">
        <v>517</v>
      </c>
      <c r="C140" s="7">
        <v>487</v>
      </c>
      <c r="D140" s="7">
        <v>477</v>
      </c>
      <c r="E140" s="7">
        <v>310</v>
      </c>
      <c r="F140" s="7">
        <v>303</v>
      </c>
      <c r="G140" s="7">
        <v>297</v>
      </c>
      <c r="H140" s="7">
        <v>543</v>
      </c>
      <c r="I140" s="7">
        <v>669</v>
      </c>
    </row>
    <row r="141" spans="1:9" x14ac:dyDescent="0.3">
      <c r="A141" s="15" t="s">
        <v>116</v>
      </c>
      <c r="B141" s="7">
        <v>-1097</v>
      </c>
      <c r="C141" s="7">
        <v>-1173</v>
      </c>
      <c r="D141" s="7">
        <v>-724</v>
      </c>
      <c r="E141" s="7">
        <v>-1456</v>
      </c>
      <c r="F141" s="7">
        <v>-1810</v>
      </c>
      <c r="G141" s="7">
        <v>-1967</v>
      </c>
      <c r="H141" s="7">
        <v>-2261</v>
      </c>
      <c r="I141" s="7">
        <v>-2219</v>
      </c>
    </row>
    <row r="142" spans="1:9" x14ac:dyDescent="0.3">
      <c r="A142" s="18" t="s">
        <v>120</v>
      </c>
      <c r="B142" s="19">
        <f t="shared" ref="B142:I142" si="23">+SUM(B139:B141)</f>
        <v>4233</v>
      </c>
      <c r="C142" s="19">
        <f t="shared" si="23"/>
        <v>4642</v>
      </c>
      <c r="D142" s="19">
        <f t="shared" si="23"/>
        <v>4945</v>
      </c>
      <c r="E142" s="19">
        <f t="shared" si="23"/>
        <v>4379</v>
      </c>
      <c r="F142" s="19">
        <f t="shared" si="23"/>
        <v>4850</v>
      </c>
      <c r="G142" s="19">
        <f t="shared" si="23"/>
        <v>2976</v>
      </c>
      <c r="H142" s="19">
        <f t="shared" si="23"/>
        <v>6923</v>
      </c>
      <c r="I142" s="19">
        <f t="shared" si="23"/>
        <v>6856</v>
      </c>
    </row>
    <row r="143" spans="1:9" s="21" customFormat="1" x14ac:dyDescent="0.3">
      <c r="A143" s="21" t="s">
        <v>118</v>
      </c>
      <c r="B143" s="22">
        <f t="shared" ref="B143:I143" si="24">+B142-B10-B8</f>
        <v>0</v>
      </c>
      <c r="C143" s="22">
        <f t="shared" si="24"/>
        <v>0</v>
      </c>
      <c r="D143" s="22">
        <f t="shared" si="24"/>
        <v>0</v>
      </c>
      <c r="E143" s="22">
        <f t="shared" si="24"/>
        <v>0</v>
      </c>
      <c r="F143" s="22">
        <f t="shared" si="24"/>
        <v>0</v>
      </c>
      <c r="G143" s="22">
        <f t="shared" si="24"/>
        <v>0</v>
      </c>
      <c r="H143" s="22">
        <f t="shared" si="24"/>
        <v>0</v>
      </c>
      <c r="I143" s="22">
        <f t="shared" si="24"/>
        <v>0</v>
      </c>
    </row>
    <row r="144" spans="1:9" x14ac:dyDescent="0.3">
      <c r="A144" s="10" t="s">
        <v>121</v>
      </c>
    </row>
    <row r="145" spans="1:9" x14ac:dyDescent="0.3">
      <c r="A145" s="15" t="s">
        <v>105</v>
      </c>
      <c r="B145" s="7">
        <v>632</v>
      </c>
      <c r="C145" s="7">
        <v>742</v>
      </c>
      <c r="D145" s="7">
        <v>819</v>
      </c>
      <c r="E145" s="7">
        <v>848</v>
      </c>
      <c r="F145" s="7">
        <v>814</v>
      </c>
      <c r="G145" s="7">
        <v>645</v>
      </c>
      <c r="H145" s="7">
        <v>617</v>
      </c>
      <c r="I145" s="7">
        <v>639</v>
      </c>
    </row>
    <row r="146" spans="1:9" x14ac:dyDescent="0.3">
      <c r="A146" s="15" t="s">
        <v>109</v>
      </c>
      <c r="B146" s="7">
        <v>498</v>
      </c>
      <c r="C146" s="7">
        <v>639</v>
      </c>
      <c r="D146" s="7">
        <v>709</v>
      </c>
      <c r="E146" s="7">
        <v>849</v>
      </c>
      <c r="F146" s="7">
        <v>929</v>
      </c>
      <c r="G146" s="7">
        <v>885</v>
      </c>
      <c r="H146" s="7">
        <v>982</v>
      </c>
      <c r="I146" s="7">
        <v>920</v>
      </c>
    </row>
    <row r="147" spans="1:9" x14ac:dyDescent="0.3">
      <c r="A147" s="15" t="s">
        <v>110</v>
      </c>
      <c r="B147" s="7">
        <v>254</v>
      </c>
      <c r="C147" s="7">
        <v>234</v>
      </c>
      <c r="D147" s="7">
        <v>225</v>
      </c>
      <c r="E147" s="7">
        <v>256</v>
      </c>
      <c r="F147" s="7">
        <v>237</v>
      </c>
      <c r="G147" s="7">
        <v>214</v>
      </c>
      <c r="H147" s="7">
        <v>288</v>
      </c>
      <c r="I147" s="7">
        <v>303</v>
      </c>
    </row>
    <row r="148" spans="1:9" x14ac:dyDescent="0.3">
      <c r="A148" s="15" t="s">
        <v>122</v>
      </c>
      <c r="B148" s="7">
        <v>308</v>
      </c>
      <c r="C148" s="7">
        <v>332</v>
      </c>
      <c r="D148" s="7">
        <v>340</v>
      </c>
      <c r="E148" s="7">
        <v>339</v>
      </c>
      <c r="F148" s="7">
        <v>326</v>
      </c>
      <c r="G148" s="7">
        <v>296</v>
      </c>
      <c r="H148" s="7">
        <v>304</v>
      </c>
      <c r="I148" s="7">
        <v>274</v>
      </c>
    </row>
    <row r="149" spans="1:9" x14ac:dyDescent="0.3">
      <c r="A149" s="15" t="s">
        <v>112</v>
      </c>
      <c r="B149" s="7">
        <v>484</v>
      </c>
      <c r="C149" s="7">
        <v>511</v>
      </c>
      <c r="D149" s="7">
        <v>533</v>
      </c>
      <c r="E149" s="7">
        <v>597</v>
      </c>
      <c r="F149" s="7">
        <v>665</v>
      </c>
      <c r="G149" s="7">
        <v>830</v>
      </c>
      <c r="H149" s="7">
        <v>780</v>
      </c>
      <c r="I149" s="7">
        <v>789</v>
      </c>
    </row>
    <row r="150" spans="1:9" x14ac:dyDescent="0.3">
      <c r="A150" s="16" t="s">
        <v>123</v>
      </c>
      <c r="B150" s="17">
        <f t="shared" ref="B150:I150" si="25">+SUM(B145:B149)</f>
        <v>2176</v>
      </c>
      <c r="C150" s="17">
        <f t="shared" si="25"/>
        <v>2458</v>
      </c>
      <c r="D150" s="17">
        <f t="shared" si="25"/>
        <v>2626</v>
      </c>
      <c r="E150" s="17">
        <f t="shared" si="25"/>
        <v>2889</v>
      </c>
      <c r="F150" s="17">
        <f t="shared" si="25"/>
        <v>2971</v>
      </c>
      <c r="G150" s="17">
        <f t="shared" si="25"/>
        <v>2870</v>
      </c>
      <c r="H150" s="17">
        <f t="shared" si="25"/>
        <v>2971</v>
      </c>
      <c r="I150" s="17">
        <f t="shared" si="25"/>
        <v>2925</v>
      </c>
    </row>
    <row r="151" spans="1:9" x14ac:dyDescent="0.3">
      <c r="A151" s="15" t="s">
        <v>114</v>
      </c>
      <c r="B151" s="7">
        <v>122</v>
      </c>
      <c r="C151" s="7">
        <v>125</v>
      </c>
      <c r="D151" s="7">
        <v>125</v>
      </c>
      <c r="E151" s="7">
        <v>115</v>
      </c>
      <c r="F151" s="7">
        <v>100</v>
      </c>
      <c r="G151" s="7">
        <v>80</v>
      </c>
      <c r="H151" s="7">
        <v>63</v>
      </c>
      <c r="I151" s="7">
        <v>49</v>
      </c>
    </row>
    <row r="152" spans="1:9" x14ac:dyDescent="0.3">
      <c r="A152" s="15" t="s">
        <v>116</v>
      </c>
      <c r="B152" s="7">
        <v>713</v>
      </c>
      <c r="C152" s="7">
        <v>937</v>
      </c>
      <c r="D152" s="7">
        <v>1238</v>
      </c>
      <c r="E152" s="7">
        <v>1450</v>
      </c>
      <c r="F152" s="7">
        <v>1673</v>
      </c>
      <c r="G152" s="7">
        <v>1916</v>
      </c>
      <c r="H152" s="7">
        <v>1870</v>
      </c>
      <c r="I152" s="7">
        <v>1817</v>
      </c>
    </row>
    <row r="153" spans="1:9" x14ac:dyDescent="0.3">
      <c r="A153" s="18" t="s">
        <v>124</v>
      </c>
      <c r="B153" s="19">
        <f t="shared" ref="B153:I153" si="26">+SUM(B150:B152)</f>
        <v>3011</v>
      </c>
      <c r="C153" s="19">
        <f t="shared" si="26"/>
        <v>3520</v>
      </c>
      <c r="D153" s="19">
        <f t="shared" si="26"/>
        <v>3989</v>
      </c>
      <c r="E153" s="19">
        <f t="shared" si="26"/>
        <v>4454</v>
      </c>
      <c r="F153" s="19">
        <f t="shared" si="26"/>
        <v>4744</v>
      </c>
      <c r="G153" s="19">
        <f t="shared" si="26"/>
        <v>4866</v>
      </c>
      <c r="H153" s="19">
        <f t="shared" si="26"/>
        <v>4904</v>
      </c>
      <c r="I153" s="19">
        <f t="shared" si="26"/>
        <v>4791</v>
      </c>
    </row>
    <row r="154" spans="1:9" x14ac:dyDescent="0.3">
      <c r="A154" s="21" t="s">
        <v>118</v>
      </c>
      <c r="B154" s="22">
        <f t="shared" ref="B154:I154" si="27">+B153-B31</f>
        <v>0</v>
      </c>
      <c r="C154" s="22">
        <f t="shared" si="27"/>
        <v>0</v>
      </c>
      <c r="D154" s="22">
        <f t="shared" si="27"/>
        <v>0</v>
      </c>
      <c r="E154" s="22">
        <f t="shared" si="27"/>
        <v>0</v>
      </c>
      <c r="F154" s="22">
        <f t="shared" si="27"/>
        <v>0</v>
      </c>
      <c r="G154" s="22">
        <f t="shared" si="27"/>
        <v>0</v>
      </c>
      <c r="H154" s="22">
        <f t="shared" si="27"/>
        <v>0</v>
      </c>
      <c r="I154" s="22">
        <f t="shared" si="27"/>
        <v>0</v>
      </c>
    </row>
    <row r="155" spans="1:9" x14ac:dyDescent="0.3">
      <c r="A155" s="10" t="s">
        <v>125</v>
      </c>
    </row>
    <row r="156" spans="1:9" x14ac:dyDescent="0.3">
      <c r="A156" s="15" t="s">
        <v>105</v>
      </c>
      <c r="B156" s="7">
        <v>208</v>
      </c>
      <c r="C156" s="7">
        <v>242</v>
      </c>
      <c r="D156" s="7">
        <v>223</v>
      </c>
      <c r="E156" s="7">
        <v>196</v>
      </c>
      <c r="F156" s="7">
        <v>117</v>
      </c>
      <c r="G156" s="7">
        <v>110</v>
      </c>
      <c r="H156" s="7">
        <v>98</v>
      </c>
      <c r="I156" s="7">
        <v>146</v>
      </c>
    </row>
    <row r="157" spans="1:9" x14ac:dyDescent="0.3">
      <c r="A157" s="15" t="s">
        <v>109</v>
      </c>
      <c r="B157" s="7">
        <v>232</v>
      </c>
      <c r="C157" s="7">
        <v>236</v>
      </c>
      <c r="D157" s="7">
        <v>173</v>
      </c>
      <c r="E157" s="7">
        <v>240</v>
      </c>
      <c r="F157" s="7">
        <v>233</v>
      </c>
      <c r="G157" s="7">
        <v>139</v>
      </c>
      <c r="H157" s="7">
        <v>153</v>
      </c>
      <c r="I157" s="7">
        <v>197</v>
      </c>
    </row>
    <row r="158" spans="1:9" x14ac:dyDescent="0.3">
      <c r="A158" s="15" t="s">
        <v>110</v>
      </c>
      <c r="B158" s="7">
        <v>69</v>
      </c>
      <c r="C158" s="7">
        <v>44</v>
      </c>
      <c r="D158" s="7">
        <v>51</v>
      </c>
      <c r="E158" s="7">
        <v>76</v>
      </c>
      <c r="F158" s="7">
        <v>49</v>
      </c>
      <c r="G158" s="7">
        <v>28</v>
      </c>
      <c r="H158" s="7">
        <v>94</v>
      </c>
      <c r="I158" s="7">
        <v>78</v>
      </c>
    </row>
    <row r="159" spans="1:9" x14ac:dyDescent="0.3">
      <c r="A159" s="15" t="s">
        <v>122</v>
      </c>
      <c r="B159" s="7">
        <v>64</v>
      </c>
      <c r="C159" s="7">
        <v>52</v>
      </c>
      <c r="D159" s="7">
        <v>59</v>
      </c>
      <c r="E159" s="7">
        <v>49</v>
      </c>
      <c r="F159" s="7">
        <v>47</v>
      </c>
      <c r="G159" s="7">
        <v>41</v>
      </c>
      <c r="H159" s="7">
        <v>54</v>
      </c>
      <c r="I159" s="7">
        <v>56</v>
      </c>
    </row>
    <row r="160" spans="1:9" x14ac:dyDescent="0.3">
      <c r="A160" s="15" t="s">
        <v>112</v>
      </c>
      <c r="B160" s="7">
        <v>225</v>
      </c>
      <c r="C160" s="7">
        <v>258</v>
      </c>
      <c r="D160" s="7">
        <v>278</v>
      </c>
      <c r="E160" s="7">
        <v>286</v>
      </c>
      <c r="F160" s="7">
        <v>278</v>
      </c>
      <c r="G160" s="7">
        <v>438</v>
      </c>
      <c r="H160" s="7">
        <v>278</v>
      </c>
      <c r="I160" s="7">
        <v>222</v>
      </c>
    </row>
    <row r="161" spans="1:9" x14ac:dyDescent="0.3">
      <c r="A161" s="16" t="s">
        <v>123</v>
      </c>
      <c r="B161" s="17">
        <f t="shared" ref="B161:I161" si="28">+SUM(B156:B160)</f>
        <v>798</v>
      </c>
      <c r="C161" s="17">
        <f t="shared" si="28"/>
        <v>832</v>
      </c>
      <c r="D161" s="17">
        <f t="shared" si="28"/>
        <v>784</v>
      </c>
      <c r="E161" s="17">
        <f t="shared" si="28"/>
        <v>847</v>
      </c>
      <c r="F161" s="17">
        <f t="shared" si="28"/>
        <v>724</v>
      </c>
      <c r="G161" s="17">
        <f t="shared" si="28"/>
        <v>756</v>
      </c>
      <c r="H161" s="17">
        <f t="shared" si="28"/>
        <v>677</v>
      </c>
      <c r="I161" s="17">
        <f t="shared" si="28"/>
        <v>699</v>
      </c>
    </row>
    <row r="162" spans="1:9" x14ac:dyDescent="0.3">
      <c r="A162" s="15" t="s">
        <v>114</v>
      </c>
      <c r="B162" s="7">
        <v>69</v>
      </c>
      <c r="C162" s="7">
        <v>39</v>
      </c>
      <c r="D162" s="7">
        <v>30</v>
      </c>
      <c r="E162" s="7">
        <v>22</v>
      </c>
      <c r="F162" s="7">
        <v>18</v>
      </c>
      <c r="G162" s="7">
        <v>12</v>
      </c>
      <c r="H162" s="7">
        <v>7</v>
      </c>
      <c r="I162" s="7">
        <v>9</v>
      </c>
    </row>
    <row r="163" spans="1:9" x14ac:dyDescent="0.3">
      <c r="A163" s="15" t="s">
        <v>116</v>
      </c>
      <c r="B163" s="7">
        <f t="shared" ref="B163:I163" si="29">-(SUM(B161:B162)+B81)</f>
        <v>93</v>
      </c>
      <c r="C163" s="7">
        <f t="shared" si="29"/>
        <v>262</v>
      </c>
      <c r="D163" s="7">
        <f t="shared" si="29"/>
        <v>278</v>
      </c>
      <c r="E163" s="7">
        <f t="shared" si="29"/>
        <v>156</v>
      </c>
      <c r="F163" s="7">
        <f t="shared" si="29"/>
        <v>377</v>
      </c>
      <c r="G163" s="7">
        <f t="shared" si="29"/>
        <v>318</v>
      </c>
      <c r="H163" s="7">
        <f t="shared" si="29"/>
        <v>11</v>
      </c>
      <c r="I163" s="7">
        <f t="shared" si="29"/>
        <v>50</v>
      </c>
    </row>
    <row r="164" spans="1:9" x14ac:dyDescent="0.3">
      <c r="A164" s="18" t="s">
        <v>126</v>
      </c>
      <c r="B164" s="19">
        <f t="shared" ref="B164:I164" si="30">+SUM(B161:B163)</f>
        <v>960</v>
      </c>
      <c r="C164" s="19">
        <f t="shared" si="30"/>
        <v>1133</v>
      </c>
      <c r="D164" s="19">
        <f t="shared" si="30"/>
        <v>1092</v>
      </c>
      <c r="E164" s="19">
        <f t="shared" si="30"/>
        <v>1025</v>
      </c>
      <c r="F164" s="19">
        <f t="shared" si="30"/>
        <v>1119</v>
      </c>
      <c r="G164" s="19">
        <f t="shared" si="30"/>
        <v>1086</v>
      </c>
      <c r="H164" s="19">
        <f t="shared" si="30"/>
        <v>695</v>
      </c>
      <c r="I164" s="19">
        <f t="shared" si="30"/>
        <v>758</v>
      </c>
    </row>
    <row r="165" spans="1:9" x14ac:dyDescent="0.3">
      <c r="A165" s="21" t="s">
        <v>118</v>
      </c>
      <c r="B165" s="22">
        <f t="shared" ref="B165:I165" si="31">+B164+B81</f>
        <v>0</v>
      </c>
      <c r="C165" s="22">
        <f t="shared" si="31"/>
        <v>0</v>
      </c>
      <c r="D165" s="22">
        <f t="shared" si="31"/>
        <v>0</v>
      </c>
      <c r="E165" s="22">
        <f t="shared" si="31"/>
        <v>0</v>
      </c>
      <c r="F165" s="22">
        <f t="shared" si="31"/>
        <v>0</v>
      </c>
      <c r="G165" s="22">
        <f t="shared" si="31"/>
        <v>0</v>
      </c>
      <c r="H165" s="22">
        <f t="shared" si="31"/>
        <v>0</v>
      </c>
      <c r="I165" s="22">
        <f t="shared" si="31"/>
        <v>0</v>
      </c>
    </row>
    <row r="166" spans="1:9" x14ac:dyDescent="0.3">
      <c r="A166" s="10" t="s">
        <v>127</v>
      </c>
    </row>
    <row r="167" spans="1:9" x14ac:dyDescent="0.3">
      <c r="A167" s="15" t="s">
        <v>105</v>
      </c>
      <c r="B167" s="7">
        <v>121</v>
      </c>
      <c r="C167" s="7">
        <v>133</v>
      </c>
      <c r="D167" s="7">
        <v>140</v>
      </c>
      <c r="E167" s="7">
        <v>160</v>
      </c>
      <c r="F167" s="7">
        <v>149</v>
      </c>
      <c r="G167" s="7">
        <v>148</v>
      </c>
      <c r="H167" s="7">
        <v>130</v>
      </c>
      <c r="I167" s="7">
        <v>124</v>
      </c>
    </row>
    <row r="168" spans="1:9" x14ac:dyDescent="0.3">
      <c r="A168" s="15" t="s">
        <v>109</v>
      </c>
      <c r="B168" s="7">
        <v>87</v>
      </c>
      <c r="C168" s="7">
        <v>85</v>
      </c>
      <c r="D168" s="7">
        <v>106</v>
      </c>
      <c r="E168" s="7">
        <v>116</v>
      </c>
      <c r="F168" s="7">
        <v>111</v>
      </c>
      <c r="G168" s="7">
        <v>132</v>
      </c>
      <c r="H168" s="7">
        <v>136</v>
      </c>
      <c r="I168" s="7">
        <v>134</v>
      </c>
    </row>
    <row r="169" spans="1:9" x14ac:dyDescent="0.3">
      <c r="A169" s="15" t="s">
        <v>110</v>
      </c>
      <c r="B169" s="7">
        <v>46</v>
      </c>
      <c r="C169" s="7">
        <v>48</v>
      </c>
      <c r="D169" s="7">
        <v>54</v>
      </c>
      <c r="E169" s="7">
        <v>56</v>
      </c>
      <c r="F169" s="7">
        <v>50</v>
      </c>
      <c r="G169" s="7">
        <v>44</v>
      </c>
      <c r="H169" s="7">
        <v>46</v>
      </c>
      <c r="I169" s="7">
        <v>41</v>
      </c>
    </row>
    <row r="170" spans="1:9" x14ac:dyDescent="0.3">
      <c r="A170" s="15" t="s">
        <v>111</v>
      </c>
      <c r="B170" s="7">
        <v>49</v>
      </c>
      <c r="C170" s="7">
        <v>42</v>
      </c>
      <c r="D170" s="7">
        <v>54</v>
      </c>
      <c r="E170" s="7">
        <v>55</v>
      </c>
      <c r="F170" s="7">
        <v>53</v>
      </c>
      <c r="G170" s="7">
        <v>46</v>
      </c>
      <c r="H170" s="7">
        <v>43</v>
      </c>
      <c r="I170" s="7">
        <v>42</v>
      </c>
    </row>
    <row r="171" spans="1:9" x14ac:dyDescent="0.3">
      <c r="A171" s="15" t="s">
        <v>112</v>
      </c>
      <c r="B171" s="7">
        <v>210</v>
      </c>
      <c r="C171" s="7">
        <v>230</v>
      </c>
      <c r="D171" s="7">
        <v>233</v>
      </c>
      <c r="E171" s="7">
        <v>217</v>
      </c>
      <c r="F171" s="7">
        <v>195</v>
      </c>
      <c r="G171" s="7">
        <v>214</v>
      </c>
      <c r="H171" s="7">
        <v>222</v>
      </c>
      <c r="I171" s="7">
        <v>220</v>
      </c>
    </row>
    <row r="172" spans="1:9" x14ac:dyDescent="0.3">
      <c r="A172" s="16" t="s">
        <v>123</v>
      </c>
      <c r="B172" s="17">
        <f t="shared" ref="B172:I172" si="32">+SUM(B167:B171)</f>
        <v>513</v>
      </c>
      <c r="C172" s="17">
        <f t="shared" si="32"/>
        <v>538</v>
      </c>
      <c r="D172" s="17">
        <f t="shared" si="32"/>
        <v>587</v>
      </c>
      <c r="E172" s="17">
        <f t="shared" si="32"/>
        <v>604</v>
      </c>
      <c r="F172" s="17">
        <f t="shared" si="32"/>
        <v>558</v>
      </c>
      <c r="G172" s="17">
        <f t="shared" si="32"/>
        <v>584</v>
      </c>
      <c r="H172" s="17">
        <f t="shared" si="32"/>
        <v>577</v>
      </c>
      <c r="I172" s="17">
        <f t="shared" si="32"/>
        <v>561</v>
      </c>
    </row>
    <row r="173" spans="1:9" x14ac:dyDescent="0.3">
      <c r="A173" s="15" t="s">
        <v>114</v>
      </c>
      <c r="B173" s="7">
        <v>18</v>
      </c>
      <c r="C173" s="7">
        <v>27</v>
      </c>
      <c r="D173" s="7">
        <v>28</v>
      </c>
      <c r="E173" s="7">
        <v>33</v>
      </c>
      <c r="F173" s="7">
        <v>31</v>
      </c>
      <c r="G173" s="7">
        <v>25</v>
      </c>
      <c r="H173" s="7">
        <v>26</v>
      </c>
      <c r="I173" s="7">
        <v>22</v>
      </c>
    </row>
    <row r="174" spans="1:9" x14ac:dyDescent="0.3">
      <c r="A174" s="15" t="s">
        <v>116</v>
      </c>
      <c r="B174" s="7">
        <v>75</v>
      </c>
      <c r="C174" s="7">
        <v>84</v>
      </c>
      <c r="D174" s="7">
        <v>91</v>
      </c>
      <c r="E174" s="7">
        <v>110</v>
      </c>
      <c r="F174" s="7">
        <v>116</v>
      </c>
      <c r="G174" s="7">
        <v>112</v>
      </c>
      <c r="H174" s="7">
        <v>141</v>
      </c>
      <c r="I174" s="7">
        <v>134</v>
      </c>
    </row>
    <row r="175" spans="1:9" x14ac:dyDescent="0.3">
      <c r="A175" s="18" t="s">
        <v>128</v>
      </c>
      <c r="B175" s="19">
        <f t="shared" ref="B175:I175" si="33">+SUM(B172:B174)</f>
        <v>606</v>
      </c>
      <c r="C175" s="19">
        <f t="shared" si="33"/>
        <v>649</v>
      </c>
      <c r="D175" s="19">
        <f t="shared" si="33"/>
        <v>706</v>
      </c>
      <c r="E175" s="19">
        <f t="shared" si="33"/>
        <v>747</v>
      </c>
      <c r="F175" s="19">
        <f t="shared" si="33"/>
        <v>705</v>
      </c>
      <c r="G175" s="19">
        <f t="shared" si="33"/>
        <v>721</v>
      </c>
      <c r="H175" s="19">
        <f t="shared" si="33"/>
        <v>744</v>
      </c>
      <c r="I175" s="19">
        <f t="shared" si="33"/>
        <v>717</v>
      </c>
    </row>
    <row r="176" spans="1:9" x14ac:dyDescent="0.3">
      <c r="A176" s="21" t="s">
        <v>118</v>
      </c>
      <c r="B176" s="22">
        <f t="shared" ref="B176:I176" si="34">+B175-B66</f>
        <v>0</v>
      </c>
      <c r="C176" s="22">
        <f t="shared" si="34"/>
        <v>0</v>
      </c>
      <c r="D176" s="22">
        <f t="shared" si="34"/>
        <v>0</v>
      </c>
      <c r="E176" s="22">
        <f t="shared" si="34"/>
        <v>0</v>
      </c>
      <c r="F176" s="22">
        <f t="shared" si="34"/>
        <v>0</v>
      </c>
      <c r="G176" s="22">
        <f t="shared" si="34"/>
        <v>0</v>
      </c>
      <c r="H176" s="22">
        <f t="shared" si="34"/>
        <v>0</v>
      </c>
      <c r="I176" s="22">
        <f t="shared" si="34"/>
        <v>0</v>
      </c>
    </row>
    <row r="177" spans="1:9" x14ac:dyDescent="0.3">
      <c r="A177" s="23" t="s">
        <v>129</v>
      </c>
      <c r="B177" s="23"/>
      <c r="C177" s="23"/>
      <c r="D177" s="23"/>
      <c r="E177" s="23"/>
      <c r="F177" s="23"/>
      <c r="G177" s="23"/>
      <c r="H177" s="23"/>
      <c r="I177" s="23"/>
    </row>
    <row r="178" spans="1:9" x14ac:dyDescent="0.3">
      <c r="A178" s="29" t="s">
        <v>130</v>
      </c>
    </row>
    <row r="179" spans="1:9" x14ac:dyDescent="0.3">
      <c r="A179" s="30" t="s">
        <v>105</v>
      </c>
      <c r="B179" s="31">
        <f>(13740-12299)/12299</f>
        <v>0.11716399707293276</v>
      </c>
      <c r="C179" s="31">
        <f t="shared" ref="C179:H188" si="35">((C107-B107)/B107)</f>
        <v>7.4526928675400297E-2</v>
      </c>
      <c r="D179" s="31">
        <f t="shared" si="35"/>
        <v>3.061500948252506E-2</v>
      </c>
      <c r="E179" s="31">
        <f t="shared" si="35"/>
        <v>-2.3725026288117772E-2</v>
      </c>
      <c r="F179" s="31">
        <f t="shared" si="35"/>
        <v>7.0481319421070346E-2</v>
      </c>
      <c r="G179" s="31">
        <f t="shared" si="35"/>
        <v>-8.9171173437303478E-2</v>
      </c>
      <c r="H179" s="31">
        <f t="shared" si="35"/>
        <v>0.18606738470035902</v>
      </c>
      <c r="I179" s="31">
        <v>7.0000000000000007E-2</v>
      </c>
    </row>
    <row r="180" spans="1:9" x14ac:dyDescent="0.3">
      <c r="A180" s="32" t="s">
        <v>106</v>
      </c>
      <c r="B180" s="33">
        <f>(8506-7495)/7495</f>
        <v>0.13488992661774515</v>
      </c>
      <c r="C180" s="33">
        <f t="shared" si="35"/>
        <v>9.3228309428638606E-2</v>
      </c>
      <c r="D180" s="33">
        <f t="shared" si="35"/>
        <v>4.1402301322722872E-2</v>
      </c>
      <c r="E180" s="33">
        <f t="shared" si="35"/>
        <v>-3.7381247418422137E-2</v>
      </c>
      <c r="F180" s="33">
        <f t="shared" si="35"/>
        <v>7.7558463848959452E-2</v>
      </c>
      <c r="G180" s="33">
        <f t="shared" si="35"/>
        <v>-7.1279243404678949E-2</v>
      </c>
      <c r="H180" s="33">
        <f t="shared" si="35"/>
        <v>0.24815092721620752</v>
      </c>
      <c r="I180" s="33">
        <v>0.05</v>
      </c>
    </row>
    <row r="181" spans="1:9" x14ac:dyDescent="0.3">
      <c r="A181" s="32" t="s">
        <v>107</v>
      </c>
      <c r="B181" s="33">
        <f>(4410-3937)/3937</f>
        <v>0.12014224028448058</v>
      </c>
      <c r="C181" s="33">
        <f t="shared" si="35"/>
        <v>7.6190476190476197E-2</v>
      </c>
      <c r="D181" s="33">
        <f t="shared" si="35"/>
        <v>2.9498525073746312E-2</v>
      </c>
      <c r="E181" s="33">
        <f t="shared" si="35"/>
        <v>1.0642652476463364E-2</v>
      </c>
      <c r="F181" s="33">
        <f t="shared" si="35"/>
        <v>6.5208586472255969E-2</v>
      </c>
      <c r="G181" s="33">
        <f t="shared" si="35"/>
        <v>-0.11806083650190113</v>
      </c>
      <c r="H181" s="33">
        <f t="shared" si="35"/>
        <v>8.3854278939426596E-2</v>
      </c>
      <c r="I181" s="33">
        <v>0.09</v>
      </c>
    </row>
    <row r="182" spans="1:9" x14ac:dyDescent="0.3">
      <c r="A182" s="32" t="s">
        <v>108</v>
      </c>
      <c r="B182" s="33">
        <f>(824-867)/867</f>
        <v>-4.9596309111880045E-2</v>
      </c>
      <c r="C182" s="33">
        <f t="shared" si="35"/>
        <v>-0.12742718446601942</v>
      </c>
      <c r="D182" s="33">
        <f t="shared" si="35"/>
        <v>-0.10152990264255911</v>
      </c>
      <c r="E182" s="33">
        <f t="shared" si="35"/>
        <v>-7.8947368421052627E-2</v>
      </c>
      <c r="F182" s="33">
        <f t="shared" si="35"/>
        <v>3.3613445378151263E-3</v>
      </c>
      <c r="G182" s="33">
        <f t="shared" si="35"/>
        <v>-0.135678391959799</v>
      </c>
      <c r="H182" s="33">
        <f t="shared" si="35"/>
        <v>-1.7441860465116279E-2</v>
      </c>
      <c r="I182" s="33">
        <v>0.25</v>
      </c>
    </row>
    <row r="183" spans="1:9" x14ac:dyDescent="0.3">
      <c r="A183" s="30" t="s">
        <v>109</v>
      </c>
      <c r="B183" s="31">
        <f>(7126-6366)/6366</f>
        <v>0.1193842287150487</v>
      </c>
      <c r="C183" s="31">
        <f t="shared" si="35"/>
        <v>6.2026382262138649E-2</v>
      </c>
      <c r="D183" s="31">
        <f t="shared" si="35"/>
        <v>5.3118393234672302E-2</v>
      </c>
      <c r="E183" s="31">
        <f t="shared" si="35"/>
        <v>0.15959849435382686</v>
      </c>
      <c r="F183" s="31">
        <f t="shared" si="35"/>
        <v>6.1674962129409219E-2</v>
      </c>
      <c r="G183" s="31">
        <f t="shared" si="35"/>
        <v>-4.7390949857317573E-2</v>
      </c>
      <c r="H183" s="31">
        <f t="shared" si="35"/>
        <v>0.22563389322777361</v>
      </c>
      <c r="I183" s="31">
        <v>0.12</v>
      </c>
    </row>
    <row r="184" spans="1:9" x14ac:dyDescent="0.3">
      <c r="A184" s="32" t="s">
        <v>106</v>
      </c>
      <c r="B184" s="33">
        <f>(4703-4062)/4062</f>
        <v>0.15780403741999016</v>
      </c>
      <c r="C184" s="33">
        <f t="shared" si="35"/>
        <v>7.2294280246651077E-2</v>
      </c>
      <c r="D184" s="33">
        <f t="shared" si="35"/>
        <v>2.9545905215149711E-2</v>
      </c>
      <c r="E184" s="33">
        <f t="shared" si="35"/>
        <v>0.13154853620955315</v>
      </c>
      <c r="F184" s="33">
        <f t="shared" si="35"/>
        <v>7.114893617021277E-2</v>
      </c>
      <c r="G184" s="33">
        <f t="shared" si="35"/>
        <v>-6.3721595423486418E-2</v>
      </c>
      <c r="H184" s="33">
        <f t="shared" si="35"/>
        <v>0.18295994568906992</v>
      </c>
      <c r="I184" s="33">
        <v>0.09</v>
      </c>
    </row>
    <row r="185" spans="1:9" x14ac:dyDescent="0.3">
      <c r="A185" s="32" t="s">
        <v>107</v>
      </c>
      <c r="B185" s="33">
        <f>(2051-1959)/1959</f>
        <v>4.6962736089841757E-2</v>
      </c>
      <c r="C185" s="33">
        <f t="shared" si="35"/>
        <v>4.778156996587031E-2</v>
      </c>
      <c r="D185" s="33">
        <f t="shared" si="35"/>
        <v>0.11447184737087017</v>
      </c>
      <c r="E185" s="33">
        <f t="shared" si="35"/>
        <v>0.22755741127348644</v>
      </c>
      <c r="F185" s="33">
        <f t="shared" si="35"/>
        <v>0.05</v>
      </c>
      <c r="G185" s="33">
        <f t="shared" si="35"/>
        <v>-1.101392938127632E-2</v>
      </c>
      <c r="H185" s="33">
        <f t="shared" si="35"/>
        <v>0.30887651490337376</v>
      </c>
      <c r="I185" s="33">
        <v>0.16</v>
      </c>
    </row>
    <row r="186" spans="1:9" x14ac:dyDescent="0.3">
      <c r="A186" s="32" t="s">
        <v>108</v>
      </c>
      <c r="B186" s="33">
        <f>(372-345)/345</f>
        <v>7.8260869565217397E-2</v>
      </c>
      <c r="C186" s="33">
        <f t="shared" si="35"/>
        <v>1.0752688172043012E-2</v>
      </c>
      <c r="D186" s="33">
        <f t="shared" si="35"/>
        <v>1.8617021276595744E-2</v>
      </c>
      <c r="E186" s="33">
        <f t="shared" si="35"/>
        <v>0.11488250652741515</v>
      </c>
      <c r="F186" s="33">
        <f t="shared" si="35"/>
        <v>1.1709601873536301E-2</v>
      </c>
      <c r="G186" s="33">
        <f t="shared" si="35"/>
        <v>-6.9444444444444448E-2</v>
      </c>
      <c r="H186" s="33">
        <f t="shared" si="35"/>
        <v>0.21890547263681592</v>
      </c>
      <c r="I186" s="33">
        <v>0.17</v>
      </c>
    </row>
    <row r="187" spans="1:9" x14ac:dyDescent="0.3">
      <c r="A187" s="30" t="s">
        <v>110</v>
      </c>
      <c r="B187" s="31">
        <f>(3067-2602)/2602</f>
        <v>0.17870868562644121</v>
      </c>
      <c r="C187" s="31">
        <f t="shared" si="35"/>
        <v>0.23410498858819692</v>
      </c>
      <c r="D187" s="31">
        <f t="shared" si="35"/>
        <v>0.11941875825627477</v>
      </c>
      <c r="E187" s="31">
        <f t="shared" si="35"/>
        <v>0.21170639603493038</v>
      </c>
      <c r="F187" s="31">
        <f t="shared" si="35"/>
        <v>0.20919361121932217</v>
      </c>
      <c r="G187" s="31">
        <f t="shared" si="35"/>
        <v>7.5869845360824736E-2</v>
      </c>
      <c r="H187" s="31">
        <f t="shared" si="35"/>
        <v>0.24120377301991316</v>
      </c>
      <c r="I187" s="31">
        <v>-0.13</v>
      </c>
    </row>
    <row r="188" spans="1:9" x14ac:dyDescent="0.3">
      <c r="A188" s="32" t="s">
        <v>106</v>
      </c>
      <c r="B188" s="33">
        <f>(2016-1600)/1600</f>
        <v>0.26</v>
      </c>
      <c r="C188" s="33">
        <f t="shared" si="35"/>
        <v>0.28918650793650796</v>
      </c>
      <c r="D188" s="33">
        <f t="shared" si="35"/>
        <v>0.12350904193920739</v>
      </c>
      <c r="E188" s="33">
        <f t="shared" si="35"/>
        <v>0.19726027397260273</v>
      </c>
      <c r="F188" s="33">
        <f t="shared" si="35"/>
        <v>0.21910755148741418</v>
      </c>
      <c r="G188" s="33">
        <f t="shared" si="35"/>
        <v>8.7517597372125763E-2</v>
      </c>
      <c r="H188" s="33">
        <f t="shared" si="35"/>
        <v>0.24012944983818771</v>
      </c>
      <c r="I188" s="33">
        <v>-0.1</v>
      </c>
    </row>
    <row r="189" spans="1:9" x14ac:dyDescent="0.3">
      <c r="A189" s="32" t="s">
        <v>107</v>
      </c>
      <c r="B189" s="33">
        <f>(925-876)/876</f>
        <v>5.5936073059360727E-2</v>
      </c>
      <c r="C189" s="33">
        <f t="shared" ref="C189:H198" si="36">((C117-B117)/B117)</f>
        <v>0.14054054054054055</v>
      </c>
      <c r="D189" s="33">
        <f t="shared" si="36"/>
        <v>0.12606635071090047</v>
      </c>
      <c r="E189" s="33">
        <f t="shared" si="36"/>
        <v>0.26936026936026936</v>
      </c>
      <c r="F189" s="33">
        <f t="shared" si="36"/>
        <v>0.19893899204244031</v>
      </c>
      <c r="G189" s="33">
        <f t="shared" si="36"/>
        <v>4.8672566371681415E-2</v>
      </c>
      <c r="H189" s="33">
        <f t="shared" si="36"/>
        <v>0.2378691983122363</v>
      </c>
      <c r="I189" s="33">
        <v>-0.21</v>
      </c>
    </row>
    <row r="190" spans="1:9" x14ac:dyDescent="0.3">
      <c r="A190" s="32" t="s">
        <v>108</v>
      </c>
      <c r="B190" s="33">
        <f>(126-126)/126</f>
        <v>0</v>
      </c>
      <c r="C190" s="33">
        <f t="shared" si="36"/>
        <v>3.968253968253968E-2</v>
      </c>
      <c r="D190" s="33">
        <f t="shared" si="36"/>
        <v>-1.5267175572519083E-2</v>
      </c>
      <c r="E190" s="33">
        <f t="shared" si="36"/>
        <v>7.7519379844961239E-3</v>
      </c>
      <c r="F190" s="33">
        <f t="shared" si="36"/>
        <v>6.1538461538461542E-2</v>
      </c>
      <c r="G190" s="33">
        <f t="shared" si="36"/>
        <v>7.2463768115942032E-2</v>
      </c>
      <c r="H190" s="33">
        <f t="shared" si="36"/>
        <v>0.31756756756756754</v>
      </c>
      <c r="I190" s="33">
        <v>-0.06</v>
      </c>
    </row>
    <row r="191" spans="1:9" x14ac:dyDescent="0.3">
      <c r="A191" s="30" t="s">
        <v>111</v>
      </c>
      <c r="B191" s="31">
        <f>(4653-4720)/4720</f>
        <v>-1.4194915254237288E-2</v>
      </c>
      <c r="C191" s="31">
        <f t="shared" si="36"/>
        <v>-7.2211476466795613E-2</v>
      </c>
      <c r="D191" s="31">
        <f t="shared" si="36"/>
        <v>9.7289784572619872E-2</v>
      </c>
      <c r="E191" s="31">
        <f t="shared" si="36"/>
        <v>9.0563647878404055E-2</v>
      </c>
      <c r="F191" s="31">
        <f t="shared" si="36"/>
        <v>1.7034456058846303E-2</v>
      </c>
      <c r="G191" s="31">
        <f t="shared" si="36"/>
        <v>-4.3014845831747243E-2</v>
      </c>
      <c r="H191" s="31">
        <f t="shared" si="36"/>
        <v>6.2649164677804292E-2</v>
      </c>
      <c r="I191" s="31">
        <v>0.16</v>
      </c>
    </row>
    <row r="192" spans="1:9" x14ac:dyDescent="0.3">
      <c r="A192" s="32" t="s">
        <v>106</v>
      </c>
      <c r="B192" s="33">
        <f>(3093-3051)/3051</f>
        <v>1.376597836774828E-2</v>
      </c>
      <c r="C192" s="33">
        <f t="shared" si="36"/>
        <v>-5.2699644358228256E-2</v>
      </c>
      <c r="D192" s="33">
        <f t="shared" si="36"/>
        <v>0.12116040955631399</v>
      </c>
      <c r="E192" s="33">
        <f t="shared" si="36"/>
        <v>8.8280060882800604E-2</v>
      </c>
      <c r="F192" s="33">
        <f t="shared" si="36"/>
        <v>1.3146853146853148E-2</v>
      </c>
      <c r="G192" s="33">
        <f t="shared" si="36"/>
        <v>-4.7763666482606291E-2</v>
      </c>
      <c r="H192" s="33">
        <f t="shared" si="36"/>
        <v>6.0887213685126125E-2</v>
      </c>
      <c r="I192" s="33">
        <v>0.17</v>
      </c>
    </row>
    <row r="193" spans="1:9" x14ac:dyDescent="0.3">
      <c r="A193" s="32" t="s">
        <v>107</v>
      </c>
      <c r="B193" s="33">
        <f>(B121-1337)/1337</f>
        <v>-6.4323111443530298E-2</v>
      </c>
      <c r="C193" s="33">
        <f t="shared" si="36"/>
        <v>-0.10711430855315747</v>
      </c>
      <c r="D193" s="33">
        <f t="shared" si="36"/>
        <v>6.087735004476276E-2</v>
      </c>
      <c r="E193" s="33">
        <f t="shared" si="36"/>
        <v>0.13670886075949368</v>
      </c>
      <c r="F193" s="33">
        <f t="shared" si="36"/>
        <v>3.5634743875278395E-2</v>
      </c>
      <c r="G193" s="33">
        <f t="shared" si="36"/>
        <v>-2.1505376344086023E-2</v>
      </c>
      <c r="H193" s="33">
        <f t="shared" si="36"/>
        <v>9.4505494505494503E-2</v>
      </c>
      <c r="I193" s="33">
        <v>0.12</v>
      </c>
    </row>
    <row r="194" spans="1:9" x14ac:dyDescent="0.3">
      <c r="A194" s="32" t="s">
        <v>108</v>
      </c>
      <c r="B194" s="33">
        <f>(B122-332)/332</f>
        <v>-6.9277108433734941E-2</v>
      </c>
      <c r="C194" s="33">
        <f t="shared" si="36"/>
        <v>-0.12621359223300971</v>
      </c>
      <c r="D194" s="33">
        <f t="shared" si="36"/>
        <v>-1.1111111111111112E-2</v>
      </c>
      <c r="E194" s="33">
        <f t="shared" si="36"/>
        <v>-8.6142322097378279E-2</v>
      </c>
      <c r="F194" s="33">
        <f t="shared" si="36"/>
        <v>-2.8688524590163935E-2</v>
      </c>
      <c r="G194" s="33">
        <f t="shared" si="36"/>
        <v>-9.7046413502109699E-2</v>
      </c>
      <c r="H194" s="33">
        <f t="shared" si="36"/>
        <v>-0.11214953271028037</v>
      </c>
      <c r="I194" s="33">
        <v>0.28000000000000003</v>
      </c>
    </row>
    <row r="195" spans="1:9" x14ac:dyDescent="0.3">
      <c r="A195" s="30" t="s">
        <v>112</v>
      </c>
      <c r="B195" s="31">
        <f>(115-125)/125</f>
        <v>-0.08</v>
      </c>
      <c r="C195" s="34">
        <f t="shared" si="36"/>
        <v>-0.36521739130434783</v>
      </c>
      <c r="D195" s="34">
        <f t="shared" si="36"/>
        <v>0</v>
      </c>
      <c r="E195" s="34">
        <f t="shared" si="36"/>
        <v>0.20547945205479451</v>
      </c>
      <c r="F195" s="34">
        <f t="shared" si="36"/>
        <v>-0.52272727272727271</v>
      </c>
      <c r="G195" s="34">
        <f t="shared" si="36"/>
        <v>-0.2857142857142857</v>
      </c>
      <c r="H195" s="31">
        <f t="shared" si="36"/>
        <v>-0.16666666666666666</v>
      </c>
      <c r="I195" s="31">
        <v>3.02</v>
      </c>
    </row>
    <row r="196" spans="1:9" x14ac:dyDescent="0.3">
      <c r="A196" s="35" t="s">
        <v>113</v>
      </c>
      <c r="B196" s="36">
        <f>(28701-26112)/26112</f>
        <v>9.914981617647059E-2</v>
      </c>
      <c r="C196" s="33">
        <f t="shared" si="36"/>
        <v>6.2924636772237905E-2</v>
      </c>
      <c r="D196" s="33">
        <f t="shared" si="36"/>
        <v>5.6577179008096501E-2</v>
      </c>
      <c r="E196" s="33">
        <f t="shared" si="36"/>
        <v>6.9866286104303038E-2</v>
      </c>
      <c r="F196" s="33">
        <f t="shared" si="36"/>
        <v>7.9251848629839056E-2</v>
      </c>
      <c r="G196" s="33">
        <f t="shared" si="36"/>
        <v>-4.4333387070772209E-2</v>
      </c>
      <c r="H196" s="37">
        <f t="shared" si="36"/>
        <v>0.18907444894286998</v>
      </c>
      <c r="I196" s="36">
        <v>0.06</v>
      </c>
    </row>
    <row r="197" spans="1:9" x14ac:dyDescent="0.3">
      <c r="A197" s="30" t="s">
        <v>114</v>
      </c>
      <c r="B197" s="31">
        <f>(1982-1684)/1684</f>
        <v>0.17695961995249407</v>
      </c>
      <c r="C197" s="31">
        <f t="shared" si="36"/>
        <v>-1.3622603430877902E-2</v>
      </c>
      <c r="D197" s="31">
        <f t="shared" si="36"/>
        <v>4.4501278772378514E-2</v>
      </c>
      <c r="E197" s="31">
        <f t="shared" si="36"/>
        <v>-7.6395690499510283E-2</v>
      </c>
      <c r="F197" s="31">
        <f t="shared" si="36"/>
        <v>1.0604453870625663E-2</v>
      </c>
      <c r="G197" s="31">
        <f t="shared" si="36"/>
        <v>-3.1479538300104928E-2</v>
      </c>
      <c r="H197" s="31">
        <f t="shared" si="36"/>
        <v>0.19447453954496208</v>
      </c>
      <c r="I197" s="31">
        <v>7.0000000000000007E-2</v>
      </c>
    </row>
    <row r="198" spans="1:9" x14ac:dyDescent="0.3">
      <c r="A198" s="32" t="s">
        <v>106</v>
      </c>
      <c r="B198" s="33">
        <f>(18318-16208)/16208</f>
        <v>0.13018262586377097</v>
      </c>
      <c r="C198" s="33">
        <f t="shared" si="36"/>
        <v>8.4779997816355493E-2</v>
      </c>
      <c r="D198" s="33">
        <f t="shared" si="36"/>
        <v>6.0892758290976803E-2</v>
      </c>
      <c r="E198" s="33">
        <f t="shared" si="36"/>
        <v>5.6306626820359564E-2</v>
      </c>
      <c r="F198" s="33">
        <f t="shared" si="36"/>
        <v>0.16220585593677025</v>
      </c>
      <c r="G198" s="33">
        <f t="shared" si="36"/>
        <v>-3.6051004636785164E-2</v>
      </c>
      <c r="H198" s="33">
        <f t="shared" si="36"/>
        <v>-0.92039122940634144</v>
      </c>
      <c r="I198" s="33">
        <v>0.06</v>
      </c>
    </row>
    <row r="199" spans="1:9" x14ac:dyDescent="0.3">
      <c r="A199" s="32" t="s">
        <v>107</v>
      </c>
      <c r="B199" s="33">
        <f>(8637-8109)/8109</f>
        <v>6.5112837587865333E-2</v>
      </c>
      <c r="C199" s="33">
        <f t="shared" ref="C199:H208" si="37">((C127-B127)/B127)</f>
        <v>4.978580525645479E-2</v>
      </c>
      <c r="D199" s="33">
        <f t="shared" si="37"/>
        <v>6.4740266901952129E-2</v>
      </c>
      <c r="E199" s="33">
        <f t="shared" si="37"/>
        <v>0.11176714315309716</v>
      </c>
      <c r="F199" s="33">
        <f t="shared" si="37"/>
        <v>8.7114506661697566E-2</v>
      </c>
      <c r="G199" s="33">
        <f t="shared" si="37"/>
        <v>-5.3651011312992804E-2</v>
      </c>
      <c r="H199" s="33">
        <f t="shared" si="37"/>
        <v>-0.99058141641007069</v>
      </c>
      <c r="I199" s="33">
        <v>-0.03</v>
      </c>
    </row>
    <row r="200" spans="1:9" x14ac:dyDescent="0.3">
      <c r="A200" s="32" t="s">
        <v>108</v>
      </c>
      <c r="B200" s="33">
        <f>(1631-1670)/1670</f>
        <v>-2.3353293413173652E-2</v>
      </c>
      <c r="C200" s="33">
        <f t="shared" si="37"/>
        <v>-8.2771305947271612E-2</v>
      </c>
      <c r="D200" s="33">
        <f t="shared" si="37"/>
        <v>-4.7459893048128345E-2</v>
      </c>
      <c r="E200" s="33">
        <f t="shared" si="37"/>
        <v>-2.0350877192982456E-2</v>
      </c>
      <c r="F200" s="33">
        <f t="shared" si="37"/>
        <v>2.2922636103151862E-2</v>
      </c>
      <c r="G200" s="33">
        <f t="shared" si="37"/>
        <v>-8.6134453781512604E-2</v>
      </c>
      <c r="H200" s="33">
        <f t="shared" si="37"/>
        <v>-0.97777777777777775</v>
      </c>
      <c r="I200" s="33">
        <v>-0.16</v>
      </c>
    </row>
    <row r="201" spans="1:9" x14ac:dyDescent="0.3">
      <c r="A201" s="32" t="s">
        <v>115</v>
      </c>
      <c r="B201" s="33">
        <f>(2015-1812)/1812</f>
        <v>0.1120309050772627</v>
      </c>
      <c r="C201" s="33">
        <f t="shared" si="37"/>
        <v>-3.6228287841191066E-2</v>
      </c>
      <c r="D201" s="33">
        <f t="shared" si="37"/>
        <v>0.12770339855818744</v>
      </c>
      <c r="E201" s="33">
        <f t="shared" si="37"/>
        <v>-8.6757990867579904E-2</v>
      </c>
      <c r="F201" s="33">
        <f t="shared" si="37"/>
        <v>-0.92949999999999999</v>
      </c>
      <c r="G201" s="33">
        <f t="shared" si="37"/>
        <v>-0.22695035460992907</v>
      </c>
      <c r="H201" s="33">
        <f t="shared" si="37"/>
        <v>-0.21100917431192662</v>
      </c>
      <c r="I201" s="33">
        <v>0.42</v>
      </c>
    </row>
    <row r="202" spans="1:9" x14ac:dyDescent="0.3">
      <c r="A202" s="38" t="s">
        <v>116</v>
      </c>
      <c r="B202" s="33">
        <f>((-82)-3)/3</f>
        <v>-28.333333333333332</v>
      </c>
      <c r="C202" s="33">
        <f t="shared" si="37"/>
        <v>4.878048780487805E-2</v>
      </c>
      <c r="D202" s="33">
        <f t="shared" si="37"/>
        <v>-1.8720930232558139</v>
      </c>
      <c r="E202" s="33">
        <f t="shared" si="37"/>
        <v>-0.65333333333333332</v>
      </c>
      <c r="F202" s="33">
        <f t="shared" si="37"/>
        <v>-1.2692307692307692</v>
      </c>
      <c r="G202" s="33">
        <f t="shared" si="37"/>
        <v>0.5714285714285714</v>
      </c>
      <c r="H202" s="33">
        <f t="shared" si="37"/>
        <v>-4.6363636363636367</v>
      </c>
      <c r="I202" s="33">
        <v>0</v>
      </c>
    </row>
    <row r="203" spans="1:9" x14ac:dyDescent="0.3">
      <c r="A203" s="39" t="s">
        <v>117</v>
      </c>
      <c r="B203" s="40">
        <f>(30601-27799)/27799</f>
        <v>0.10079499262563402</v>
      </c>
      <c r="C203" s="40">
        <f t="shared" si="37"/>
        <v>5.8004640371229696E-2</v>
      </c>
      <c r="D203" s="40">
        <f t="shared" si="37"/>
        <v>6.0971089696071165E-2</v>
      </c>
      <c r="E203" s="40">
        <f t="shared" si="37"/>
        <v>5.9592430858806403E-2</v>
      </c>
      <c r="F203" s="40">
        <f t="shared" si="37"/>
        <v>7.4731433909388134E-2</v>
      </c>
      <c r="G203" s="40">
        <f t="shared" si="37"/>
        <v>-4.3817266150267146E-2</v>
      </c>
      <c r="H203" s="40">
        <f t="shared" si="37"/>
        <v>0.1907600994572628</v>
      </c>
      <c r="I203" s="40">
        <v>0.06</v>
      </c>
    </row>
  </sheetData>
  <pageMargins left="0.7" right="0.7" top="0.75" bottom="0.75" header="0.511811023622047" footer="0.511811023622047"/>
  <pageSetup paperSize="9" orientation="portrait" horizontalDpi="300" verticalDpi="30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12"/>
  <sheetViews>
    <sheetView zoomScale="80" zoomScaleNormal="80" workbookViewId="0">
      <selection activeCell="I3" sqref="I3"/>
    </sheetView>
  </sheetViews>
  <sheetFormatPr defaultColWidth="8.6640625" defaultRowHeight="14.4" x14ac:dyDescent="0.3"/>
  <cols>
    <col min="1" max="1" width="48.77734375" customWidth="1"/>
    <col min="2" max="14" width="11.77734375" customWidth="1"/>
  </cols>
  <sheetData>
    <row r="1" spans="1:15" ht="60" customHeight="1" x14ac:dyDescent="0.3">
      <c r="A1" s="5" t="s">
        <v>4</v>
      </c>
      <c r="B1" s="6">
        <f t="shared" ref="B1:H1" si="0">+C1-1</f>
        <v>2015</v>
      </c>
      <c r="C1" s="6">
        <f t="shared" si="0"/>
        <v>2016</v>
      </c>
      <c r="D1" s="6">
        <f t="shared" si="0"/>
        <v>2017</v>
      </c>
      <c r="E1" s="6">
        <f t="shared" si="0"/>
        <v>2018</v>
      </c>
      <c r="F1" s="6">
        <f t="shared" si="0"/>
        <v>2019</v>
      </c>
      <c r="G1" s="6">
        <f t="shared" si="0"/>
        <v>2020</v>
      </c>
      <c r="H1" s="6">
        <f t="shared" si="0"/>
        <v>2021</v>
      </c>
      <c r="I1" s="6">
        <v>2022</v>
      </c>
      <c r="J1" s="41">
        <f>+I1+1</f>
        <v>2023</v>
      </c>
      <c r="K1" s="41">
        <f>+J1+1</f>
        <v>2024</v>
      </c>
      <c r="L1" s="41">
        <f>+K1+1</f>
        <v>2025</v>
      </c>
      <c r="M1" s="41">
        <f>+L1+1</f>
        <v>2026</v>
      </c>
      <c r="N1" s="41">
        <f>+M1+1</f>
        <v>2027</v>
      </c>
    </row>
    <row r="2" spans="1:15" x14ac:dyDescent="0.3">
      <c r="A2" s="42" t="s">
        <v>131</v>
      </c>
      <c r="B2" s="42"/>
      <c r="C2" s="42"/>
      <c r="D2" s="42"/>
      <c r="E2" s="42"/>
      <c r="F2" s="42"/>
      <c r="G2" s="42"/>
      <c r="H2" s="42"/>
      <c r="I2" s="42"/>
      <c r="J2" s="41"/>
      <c r="K2" s="41"/>
      <c r="L2" s="41"/>
      <c r="M2" s="41"/>
      <c r="N2" s="41"/>
    </row>
    <row r="3" spans="1:15" x14ac:dyDescent="0.3">
      <c r="A3" s="11" t="s">
        <v>132</v>
      </c>
      <c r="B3" s="11">
        <f t="shared" ref="B3:N3" si="1">B21+B52+B83+B115+B146+B177+B196</f>
        <v>30260</v>
      </c>
      <c r="C3" s="11">
        <f t="shared" si="1"/>
        <v>31237</v>
      </c>
      <c r="D3" s="11">
        <f t="shared" si="1"/>
        <v>32955</v>
      </c>
      <c r="E3" s="11">
        <f t="shared" si="1"/>
        <v>34580</v>
      </c>
      <c r="F3" s="11">
        <f t="shared" si="1"/>
        <v>36529</v>
      </c>
      <c r="G3" s="11">
        <f t="shared" si="1"/>
        <v>34377</v>
      </c>
      <c r="H3" s="11">
        <f t="shared" si="1"/>
        <v>40499</v>
      </c>
      <c r="I3" s="11">
        <f t="shared" si="1"/>
        <v>43240</v>
      </c>
      <c r="J3" s="11">
        <f t="shared" si="1"/>
        <v>43117</v>
      </c>
      <c r="K3" s="11">
        <f t="shared" si="1"/>
        <v>43117</v>
      </c>
      <c r="L3" s="11">
        <f t="shared" si="1"/>
        <v>43117</v>
      </c>
      <c r="M3" s="11">
        <f t="shared" si="1"/>
        <v>43117</v>
      </c>
      <c r="N3" s="11">
        <f t="shared" si="1"/>
        <v>43117</v>
      </c>
      <c r="O3" t="s">
        <v>133</v>
      </c>
    </row>
    <row r="4" spans="1:15" x14ac:dyDescent="0.3">
      <c r="A4" s="43" t="s">
        <v>134</v>
      </c>
      <c r="B4" s="44">
        <v>0.1</v>
      </c>
      <c r="C4" s="45">
        <f t="shared" ref="C4:I4" si="2">(C3-B3)/C3</f>
        <v>3.1277011236674458E-2</v>
      </c>
      <c r="D4" s="45">
        <f t="shared" si="2"/>
        <v>5.2131694735245031E-2</v>
      </c>
      <c r="E4" s="45">
        <f t="shared" si="2"/>
        <v>4.6992481203007516E-2</v>
      </c>
      <c r="F4" s="45">
        <f t="shared" si="2"/>
        <v>5.3354868734430176E-2</v>
      </c>
      <c r="G4" s="45">
        <f t="shared" si="2"/>
        <v>-6.2599994182156671E-2</v>
      </c>
      <c r="H4" s="45">
        <f t="shared" si="2"/>
        <v>0.15116422627719203</v>
      </c>
      <c r="I4" s="45">
        <f t="shared" si="2"/>
        <v>6.3390379278445888E-2</v>
      </c>
      <c r="J4" s="45">
        <v>0</v>
      </c>
      <c r="K4" s="45">
        <v>0</v>
      </c>
      <c r="L4" s="45">
        <v>0</v>
      </c>
      <c r="M4" s="45">
        <v>0</v>
      </c>
      <c r="N4" s="45">
        <v>0</v>
      </c>
    </row>
    <row r="5" spans="1:15" x14ac:dyDescent="0.3">
      <c r="A5" s="11" t="s">
        <v>135</v>
      </c>
      <c r="B5" s="46">
        <f t="shared" ref="B5:N5" si="3">B8+B11</f>
        <v>6047</v>
      </c>
      <c r="C5" s="46">
        <f t="shared" si="3"/>
        <v>6282</v>
      </c>
      <c r="D5" s="46">
        <f t="shared" si="3"/>
        <v>6792</v>
      </c>
      <c r="E5" s="46">
        <f t="shared" si="3"/>
        <v>5605</v>
      </c>
      <c r="F5" s="46">
        <f t="shared" si="3"/>
        <v>5283</v>
      </c>
      <c r="G5" s="46">
        <f t="shared" si="3"/>
        <v>1284</v>
      </c>
      <c r="H5" s="46">
        <f t="shared" si="3"/>
        <v>8042</v>
      </c>
      <c r="I5" s="46">
        <f t="shared" si="3"/>
        <v>8007</v>
      </c>
      <c r="J5" s="46">
        <f t="shared" si="3"/>
        <v>8007</v>
      </c>
      <c r="K5" s="46">
        <f t="shared" si="3"/>
        <v>8007</v>
      </c>
      <c r="L5" s="46">
        <f t="shared" si="3"/>
        <v>8007</v>
      </c>
      <c r="M5" s="46">
        <f t="shared" si="3"/>
        <v>8007</v>
      </c>
      <c r="N5" s="46">
        <f t="shared" si="3"/>
        <v>8007</v>
      </c>
      <c r="O5" t="s">
        <v>136</v>
      </c>
    </row>
    <row r="6" spans="1:15" x14ac:dyDescent="0.3">
      <c r="A6" s="43" t="s">
        <v>134</v>
      </c>
      <c r="B6" s="45">
        <f>(4839-4095)/4839</f>
        <v>0.15375077495350278</v>
      </c>
      <c r="C6" s="45">
        <f t="shared" ref="C6:I6" si="4">(C5-B5)/C5</f>
        <v>3.7408468640560334E-2</v>
      </c>
      <c r="D6" s="45">
        <f t="shared" si="4"/>
        <v>7.5088339222614847E-2</v>
      </c>
      <c r="E6" s="45">
        <f t="shared" si="4"/>
        <v>-0.21177520071364853</v>
      </c>
      <c r="F6" s="45">
        <f t="shared" si="4"/>
        <v>-6.0950217679348856E-2</v>
      </c>
      <c r="G6" s="45">
        <f t="shared" si="4"/>
        <v>-3.1144859813084111</v>
      </c>
      <c r="H6" s="45">
        <f t="shared" si="4"/>
        <v>0.84033822432230787</v>
      </c>
      <c r="I6" s="45">
        <f t="shared" si="4"/>
        <v>-4.3711752216810291E-3</v>
      </c>
      <c r="J6" s="45">
        <v>0</v>
      </c>
      <c r="K6" s="45">
        <v>0</v>
      </c>
      <c r="L6" s="45">
        <v>0</v>
      </c>
      <c r="M6" s="45">
        <v>0</v>
      </c>
      <c r="N6" s="45">
        <v>0</v>
      </c>
    </row>
    <row r="7" spans="1:15" x14ac:dyDescent="0.3">
      <c r="A7" s="43" t="s">
        <v>137</v>
      </c>
      <c r="B7" s="45">
        <f t="shared" ref="B7:N7" si="5">B5/B3</f>
        <v>0.19983476536682088</v>
      </c>
      <c r="C7" s="45">
        <f t="shared" si="5"/>
        <v>0.20110766078688735</v>
      </c>
      <c r="D7" s="45">
        <f t="shared" si="5"/>
        <v>0.2060992262175694</v>
      </c>
      <c r="E7" s="45">
        <f t="shared" si="5"/>
        <v>0.16208791208791209</v>
      </c>
      <c r="F7" s="45">
        <f t="shared" si="5"/>
        <v>0.14462481863724713</v>
      </c>
      <c r="G7" s="45">
        <f t="shared" si="5"/>
        <v>3.7350554149576755E-2</v>
      </c>
      <c r="H7" s="45">
        <f t="shared" si="5"/>
        <v>0.19857280426677201</v>
      </c>
      <c r="I7" s="45">
        <f t="shared" si="5"/>
        <v>0.18517576318223866</v>
      </c>
      <c r="J7" s="45">
        <f t="shared" si="5"/>
        <v>0.1857040146577916</v>
      </c>
      <c r="K7" s="45">
        <f t="shared" si="5"/>
        <v>0.1857040146577916</v>
      </c>
      <c r="L7" s="45">
        <f t="shared" si="5"/>
        <v>0.1857040146577916</v>
      </c>
      <c r="M7" s="45">
        <f t="shared" si="5"/>
        <v>0.1857040146577916</v>
      </c>
      <c r="N7" s="45">
        <f t="shared" si="5"/>
        <v>0.1857040146577916</v>
      </c>
    </row>
    <row r="8" spans="1:15" x14ac:dyDescent="0.3">
      <c r="A8" s="11" t="s">
        <v>138</v>
      </c>
      <c r="B8" s="46">
        <f t="shared" ref="B8:N8" si="6">B38+B69+B101+B132+B163+B182+B201</f>
        <v>1358</v>
      </c>
      <c r="C8" s="46">
        <f t="shared" si="6"/>
        <v>1453</v>
      </c>
      <c r="D8" s="46">
        <f t="shared" si="6"/>
        <v>1563</v>
      </c>
      <c r="E8" s="46">
        <f t="shared" si="6"/>
        <v>1622</v>
      </c>
      <c r="F8" s="46">
        <f t="shared" si="6"/>
        <v>1524</v>
      </c>
      <c r="G8" s="46">
        <f t="shared" si="6"/>
        <v>1587</v>
      </c>
      <c r="H8" s="46">
        <f t="shared" si="6"/>
        <v>1638</v>
      </c>
      <c r="I8" s="46">
        <f t="shared" si="6"/>
        <v>1591</v>
      </c>
      <c r="J8" s="46">
        <f t="shared" si="6"/>
        <v>1591</v>
      </c>
      <c r="K8" s="46">
        <f t="shared" si="6"/>
        <v>1591</v>
      </c>
      <c r="L8" s="46">
        <f t="shared" si="6"/>
        <v>1591</v>
      </c>
      <c r="M8" s="46">
        <f t="shared" si="6"/>
        <v>1591</v>
      </c>
      <c r="N8" s="46">
        <f t="shared" si="6"/>
        <v>1591</v>
      </c>
      <c r="O8" t="s">
        <v>139</v>
      </c>
    </row>
    <row r="9" spans="1:15" x14ac:dyDescent="0.3">
      <c r="A9" s="43" t="s">
        <v>134</v>
      </c>
      <c r="B9" s="45" t="s">
        <v>140</v>
      </c>
      <c r="C9" s="45">
        <f t="shared" ref="C9:I9" si="7">(C8-B8)/C8</f>
        <v>6.5381968341362701E-2</v>
      </c>
      <c r="D9" s="45">
        <f t="shared" si="7"/>
        <v>7.0377479206653867E-2</v>
      </c>
      <c r="E9" s="45">
        <f t="shared" si="7"/>
        <v>3.6374845869297165E-2</v>
      </c>
      <c r="F9" s="45">
        <f t="shared" si="7"/>
        <v>-6.4304461942257224E-2</v>
      </c>
      <c r="G9" s="45">
        <f t="shared" si="7"/>
        <v>3.9697542533081283E-2</v>
      </c>
      <c r="H9" s="45">
        <f t="shared" si="7"/>
        <v>3.1135531135531136E-2</v>
      </c>
      <c r="I9" s="45">
        <f t="shared" si="7"/>
        <v>-2.9541169076052799E-2</v>
      </c>
      <c r="J9" s="45">
        <v>0</v>
      </c>
      <c r="K9" s="45">
        <v>0</v>
      </c>
      <c r="L9" s="45">
        <v>0</v>
      </c>
      <c r="M9" s="45">
        <v>0</v>
      </c>
      <c r="N9" s="45">
        <v>0</v>
      </c>
    </row>
    <row r="10" spans="1:15" x14ac:dyDescent="0.3">
      <c r="A10" s="43" t="s">
        <v>141</v>
      </c>
      <c r="B10" s="45">
        <f t="shared" ref="B10:N10" si="8">B8/B3</f>
        <v>4.4877726371447456E-2</v>
      </c>
      <c r="C10" s="45">
        <f t="shared" si="8"/>
        <v>4.6515350385760476E-2</v>
      </c>
      <c r="D10" s="45">
        <f t="shared" si="8"/>
        <v>4.7428311333636779E-2</v>
      </c>
      <c r="E10" s="45">
        <f t="shared" si="8"/>
        <v>4.6905725853094271E-2</v>
      </c>
      <c r="F10" s="45">
        <f t="shared" si="8"/>
        <v>4.1720277040159875E-2</v>
      </c>
      <c r="G10" s="45">
        <f t="shared" si="8"/>
        <v>4.6164586787677805E-2</v>
      </c>
      <c r="H10" s="45">
        <f t="shared" si="8"/>
        <v>4.044544309736043E-2</v>
      </c>
      <c r="I10" s="45">
        <f t="shared" si="8"/>
        <v>3.6794634597594821E-2</v>
      </c>
      <c r="J10" s="45">
        <f t="shared" si="8"/>
        <v>3.6899598766147922E-2</v>
      </c>
      <c r="K10" s="45">
        <f t="shared" si="8"/>
        <v>3.6899598766147922E-2</v>
      </c>
      <c r="L10" s="45">
        <f t="shared" si="8"/>
        <v>3.6899598766147922E-2</v>
      </c>
      <c r="M10" s="45">
        <f t="shared" si="8"/>
        <v>3.6899598766147922E-2</v>
      </c>
      <c r="N10" s="45">
        <f t="shared" si="8"/>
        <v>3.6899598766147922E-2</v>
      </c>
    </row>
    <row r="11" spans="1:15" x14ac:dyDescent="0.3">
      <c r="A11" s="11" t="s">
        <v>142</v>
      </c>
      <c r="B11" s="46">
        <f t="shared" ref="B11:N11" si="9">B42+B73+B105+B136+B167+B186+B204</f>
        <v>4689</v>
      </c>
      <c r="C11" s="46">
        <f t="shared" si="9"/>
        <v>4829</v>
      </c>
      <c r="D11" s="46">
        <f t="shared" si="9"/>
        <v>5229</v>
      </c>
      <c r="E11" s="46">
        <f t="shared" si="9"/>
        <v>3983</v>
      </c>
      <c r="F11" s="46">
        <f t="shared" si="9"/>
        <v>3759</v>
      </c>
      <c r="G11" s="46">
        <f t="shared" si="9"/>
        <v>-303</v>
      </c>
      <c r="H11" s="46">
        <f t="shared" si="9"/>
        <v>6404</v>
      </c>
      <c r="I11" s="46">
        <f t="shared" si="9"/>
        <v>6416</v>
      </c>
      <c r="J11" s="46">
        <f t="shared" si="9"/>
        <v>6416</v>
      </c>
      <c r="K11" s="46">
        <f t="shared" si="9"/>
        <v>6416</v>
      </c>
      <c r="L11" s="46">
        <f t="shared" si="9"/>
        <v>6416</v>
      </c>
      <c r="M11" s="46">
        <f t="shared" si="9"/>
        <v>6416</v>
      </c>
      <c r="N11" s="46">
        <f t="shared" si="9"/>
        <v>6416</v>
      </c>
      <c r="O11" t="s">
        <v>143</v>
      </c>
    </row>
    <row r="12" spans="1:15" x14ac:dyDescent="0.3">
      <c r="A12" s="43" t="s">
        <v>134</v>
      </c>
      <c r="B12" s="45" t="s">
        <v>140</v>
      </c>
      <c r="C12" s="45">
        <f>C11/B11-1</f>
        <v>2.9857112390701657E-2</v>
      </c>
      <c r="D12" s="45">
        <f t="shared" ref="D12:I12" si="10">(D11-C11)/D11</f>
        <v>7.6496462038630711E-2</v>
      </c>
      <c r="E12" s="45">
        <f t="shared" si="10"/>
        <v>-0.31282952548330406</v>
      </c>
      <c r="F12" s="45">
        <f t="shared" si="10"/>
        <v>-5.9590316573556797E-2</v>
      </c>
      <c r="G12" s="45">
        <f t="shared" si="10"/>
        <v>13.405940594059405</v>
      </c>
      <c r="H12" s="45">
        <f t="shared" si="10"/>
        <v>1.0473141786383511</v>
      </c>
      <c r="I12" s="45">
        <f t="shared" si="10"/>
        <v>1.8703241895261845E-3</v>
      </c>
      <c r="J12" s="45">
        <v>0</v>
      </c>
      <c r="K12" s="45">
        <v>0</v>
      </c>
      <c r="L12" s="45">
        <v>0</v>
      </c>
      <c r="M12" s="45">
        <v>0</v>
      </c>
      <c r="N12" s="45">
        <v>0</v>
      </c>
    </row>
    <row r="13" spans="1:15" x14ac:dyDescent="0.3">
      <c r="A13" s="43" t="s">
        <v>137</v>
      </c>
      <c r="B13" s="45">
        <f t="shared" ref="B13:N13" si="11">B11/B3</f>
        <v>0.15495703899537344</v>
      </c>
      <c r="C13" s="45">
        <f t="shared" si="11"/>
        <v>0.15459231040112686</v>
      </c>
      <c r="D13" s="45">
        <f t="shared" si="11"/>
        <v>0.15867091488393265</v>
      </c>
      <c r="E13" s="45">
        <f t="shared" si="11"/>
        <v>0.11518218623481781</v>
      </c>
      <c r="F13" s="45">
        <f t="shared" si="11"/>
        <v>0.10290454159708724</v>
      </c>
      <c r="G13" s="45">
        <f t="shared" si="11"/>
        <v>-8.8140326381010558E-3</v>
      </c>
      <c r="H13" s="45">
        <f t="shared" si="11"/>
        <v>0.15812736116941159</v>
      </c>
      <c r="I13" s="45">
        <f t="shared" si="11"/>
        <v>0.14838112858464386</v>
      </c>
      <c r="J13" s="45">
        <f t="shared" si="11"/>
        <v>0.14880441589164367</v>
      </c>
      <c r="K13" s="45">
        <f t="shared" si="11"/>
        <v>0.14880441589164367</v>
      </c>
      <c r="L13" s="45">
        <f t="shared" si="11"/>
        <v>0.14880441589164367</v>
      </c>
      <c r="M13" s="45">
        <f t="shared" si="11"/>
        <v>0.14880441589164367</v>
      </c>
      <c r="N13" s="45">
        <f t="shared" si="11"/>
        <v>0.14880441589164367</v>
      </c>
    </row>
    <row r="14" spans="1:15" x14ac:dyDescent="0.3">
      <c r="A14" s="11" t="s">
        <v>144</v>
      </c>
      <c r="B14" s="10">
        <f t="shared" ref="B14:N14" si="12">B45+B76+B108+B139+B170+B189+B207</f>
        <v>1003</v>
      </c>
      <c r="C14" s="10">
        <f t="shared" si="12"/>
        <v>1193</v>
      </c>
      <c r="D14" s="10">
        <f t="shared" si="12"/>
        <v>1201</v>
      </c>
      <c r="E14" s="10">
        <f t="shared" si="12"/>
        <v>1194</v>
      </c>
      <c r="F14" s="10">
        <f t="shared" si="12"/>
        <v>1075</v>
      </c>
      <c r="G14" s="10">
        <f t="shared" si="12"/>
        <v>1124</v>
      </c>
      <c r="H14" s="10">
        <f t="shared" si="12"/>
        <v>791</v>
      </c>
      <c r="I14" s="10">
        <f t="shared" si="12"/>
        <v>811</v>
      </c>
      <c r="J14" s="10">
        <f t="shared" si="12"/>
        <v>811</v>
      </c>
      <c r="K14" s="10">
        <f t="shared" si="12"/>
        <v>811</v>
      </c>
      <c r="L14" s="10">
        <f t="shared" si="12"/>
        <v>811</v>
      </c>
      <c r="M14" s="10">
        <f t="shared" si="12"/>
        <v>811</v>
      </c>
      <c r="N14" s="10">
        <f t="shared" si="12"/>
        <v>811</v>
      </c>
      <c r="O14" t="s">
        <v>145</v>
      </c>
    </row>
    <row r="15" spans="1:15" x14ac:dyDescent="0.3">
      <c r="A15" s="43" t="s">
        <v>134</v>
      </c>
      <c r="B15" s="45" t="s">
        <v>140</v>
      </c>
      <c r="C15" s="45">
        <f t="shared" ref="C15:I15" si="13">(C14-B14)/C14</f>
        <v>0.15926236378876782</v>
      </c>
      <c r="D15" s="45">
        <f t="shared" si="13"/>
        <v>6.6611157368859286E-3</v>
      </c>
      <c r="E15" s="45">
        <f t="shared" si="13"/>
        <v>-5.8626465661641538E-3</v>
      </c>
      <c r="F15" s="45">
        <f t="shared" si="13"/>
        <v>-0.11069767441860465</v>
      </c>
      <c r="G15" s="45">
        <f t="shared" si="13"/>
        <v>4.3594306049822062E-2</v>
      </c>
      <c r="H15" s="45">
        <f t="shared" si="13"/>
        <v>-0.42098609355246525</v>
      </c>
      <c r="I15" s="45">
        <f t="shared" si="13"/>
        <v>2.4660912453760789E-2</v>
      </c>
      <c r="J15" s="45">
        <v>0</v>
      </c>
      <c r="K15" s="45">
        <v>0</v>
      </c>
      <c r="L15" s="45">
        <v>0</v>
      </c>
      <c r="M15" s="45">
        <v>0</v>
      </c>
      <c r="N15" s="45">
        <v>0</v>
      </c>
    </row>
    <row r="16" spans="1:15" x14ac:dyDescent="0.3">
      <c r="A16" s="43" t="s">
        <v>141</v>
      </c>
      <c r="B16" s="45">
        <f t="shared" ref="B16:N16" si="14">B14/B3</f>
        <v>3.314606741573034E-2</v>
      </c>
      <c r="C16" s="45">
        <f t="shared" si="14"/>
        <v>3.8191887825335342E-2</v>
      </c>
      <c r="D16" s="45">
        <f t="shared" si="14"/>
        <v>3.6443635260203305E-2</v>
      </c>
      <c r="E16" s="45">
        <f t="shared" si="14"/>
        <v>3.4528629265471372E-2</v>
      </c>
      <c r="F16" s="45">
        <f t="shared" si="14"/>
        <v>2.9428673109036657E-2</v>
      </c>
      <c r="G16" s="45">
        <f t="shared" si="14"/>
        <v>3.2696279489193354E-2</v>
      </c>
      <c r="H16" s="45">
        <f t="shared" si="14"/>
        <v>1.9531346452998838E-2</v>
      </c>
      <c r="I16" s="45">
        <f t="shared" si="14"/>
        <v>1.8755781683626273E-2</v>
      </c>
      <c r="J16" s="45">
        <f t="shared" si="14"/>
        <v>1.8809286360368299E-2</v>
      </c>
      <c r="K16" s="45">
        <f t="shared" si="14"/>
        <v>1.8809286360368299E-2</v>
      </c>
      <c r="L16" s="45">
        <f t="shared" si="14"/>
        <v>1.8809286360368299E-2</v>
      </c>
      <c r="M16" s="45">
        <f t="shared" si="14"/>
        <v>1.8809286360368299E-2</v>
      </c>
      <c r="N16" s="45">
        <f t="shared" si="14"/>
        <v>1.8809286360368299E-2</v>
      </c>
    </row>
    <row r="17" spans="1:15" x14ac:dyDescent="0.3">
      <c r="A17" s="11" t="s">
        <v>146</v>
      </c>
      <c r="B17" s="10">
        <f t="shared" ref="B17:N17" si="15">B48+B79+B111+B142+B173+B192+B210</f>
        <v>6130</v>
      </c>
      <c r="C17" s="10">
        <f t="shared" si="15"/>
        <v>7192</v>
      </c>
      <c r="D17" s="10">
        <f t="shared" si="15"/>
        <v>8161</v>
      </c>
      <c r="E17" s="10">
        <f t="shared" si="15"/>
        <v>9134</v>
      </c>
      <c r="F17" s="10">
        <f t="shared" si="15"/>
        <v>9816</v>
      </c>
      <c r="G17" s="10">
        <f t="shared" si="15"/>
        <v>10268</v>
      </c>
      <c r="H17" s="10">
        <f t="shared" si="15"/>
        <v>10237</v>
      </c>
      <c r="I17" s="10">
        <f t="shared" si="15"/>
        <v>10019</v>
      </c>
      <c r="J17" s="10">
        <f t="shared" si="15"/>
        <v>10019</v>
      </c>
      <c r="K17" s="10">
        <f t="shared" si="15"/>
        <v>10019</v>
      </c>
      <c r="L17" s="10">
        <f t="shared" si="15"/>
        <v>10019</v>
      </c>
      <c r="M17" s="10">
        <f t="shared" si="15"/>
        <v>10019</v>
      </c>
      <c r="N17" s="10">
        <f t="shared" si="15"/>
        <v>10019</v>
      </c>
      <c r="O17" t="s">
        <v>147</v>
      </c>
    </row>
    <row r="18" spans="1:15" x14ac:dyDescent="0.3">
      <c r="A18" s="43" t="s">
        <v>134</v>
      </c>
      <c r="B18" s="45" t="s">
        <v>140</v>
      </c>
      <c r="C18" s="45">
        <f t="shared" ref="C18:I18" si="16">C17/B17-1</f>
        <v>0.17324632952691688</v>
      </c>
      <c r="D18" s="45">
        <f t="shared" si="16"/>
        <v>0.13473303670745262</v>
      </c>
      <c r="E18" s="45">
        <f t="shared" si="16"/>
        <v>0.11922558509986514</v>
      </c>
      <c r="F18" s="45">
        <f t="shared" si="16"/>
        <v>7.4666082767681274E-2</v>
      </c>
      <c r="G18" s="45">
        <f t="shared" si="16"/>
        <v>4.6047269763651144E-2</v>
      </c>
      <c r="H18" s="45">
        <f t="shared" si="16"/>
        <v>-3.019088430074035E-3</v>
      </c>
      <c r="I18" s="45">
        <f t="shared" si="16"/>
        <v>-2.1295301357819651E-2</v>
      </c>
      <c r="J18" s="45">
        <v>0</v>
      </c>
      <c r="K18" s="45">
        <v>0</v>
      </c>
      <c r="L18" s="45">
        <v>0</v>
      </c>
      <c r="M18" s="45">
        <v>0</v>
      </c>
      <c r="N18" s="45">
        <v>0</v>
      </c>
    </row>
    <row r="19" spans="1:15" x14ac:dyDescent="0.3">
      <c r="A19" s="43" t="s">
        <v>141</v>
      </c>
      <c r="B19" s="45">
        <f t="shared" ref="B19:N19" si="17">B17/B3</f>
        <v>0.20257766027759419</v>
      </c>
      <c r="C19" s="45">
        <f t="shared" si="17"/>
        <v>0.23023977974837531</v>
      </c>
      <c r="D19" s="45">
        <f t="shared" si="17"/>
        <v>0.24764072219693523</v>
      </c>
      <c r="E19" s="45">
        <f t="shared" si="17"/>
        <v>0.26414112203585888</v>
      </c>
      <c r="F19" s="45">
        <f t="shared" si="17"/>
        <v>0.26871800487284075</v>
      </c>
      <c r="G19" s="45">
        <f t="shared" si="17"/>
        <v>0.29868807633010441</v>
      </c>
      <c r="H19" s="45">
        <f t="shared" si="17"/>
        <v>0.25277167337465123</v>
      </c>
      <c r="I19" s="45">
        <f t="shared" si="17"/>
        <v>0.23170675300647547</v>
      </c>
      <c r="J19" s="45">
        <f t="shared" si="17"/>
        <v>0.23236774358141801</v>
      </c>
      <c r="K19" s="45">
        <f t="shared" si="17"/>
        <v>0.23236774358141801</v>
      </c>
      <c r="L19" s="45">
        <f t="shared" si="17"/>
        <v>0.23236774358141801</v>
      </c>
      <c r="M19" s="45">
        <f t="shared" si="17"/>
        <v>0.23236774358141801</v>
      </c>
      <c r="N19" s="45">
        <f t="shared" si="17"/>
        <v>0.23236774358141801</v>
      </c>
    </row>
    <row r="20" spans="1:15" x14ac:dyDescent="0.3">
      <c r="A20" s="47" t="str">
        <f>+Historicals!A107</f>
        <v>North America</v>
      </c>
      <c r="B20" s="47"/>
      <c r="C20" s="47"/>
      <c r="D20" s="47"/>
      <c r="E20" s="47"/>
      <c r="F20" s="47"/>
      <c r="G20" s="47"/>
      <c r="H20" s="47"/>
      <c r="I20" s="47"/>
      <c r="J20" s="41"/>
      <c r="K20" s="41"/>
      <c r="L20" s="41"/>
      <c r="M20" s="41"/>
      <c r="N20" s="41"/>
    </row>
    <row r="21" spans="1:15" x14ac:dyDescent="0.3">
      <c r="A21" s="11" t="s">
        <v>148</v>
      </c>
      <c r="B21" s="11">
        <f>+Historicals!B107</f>
        <v>13740</v>
      </c>
      <c r="C21" s="11">
        <f>+Historicals!C107</f>
        <v>14764</v>
      </c>
      <c r="D21" s="11">
        <f>+Historicals!D107</f>
        <v>15216</v>
      </c>
      <c r="E21" s="11">
        <f>+Historicals!E107</f>
        <v>14855</v>
      </c>
      <c r="F21" s="11">
        <f>+Historicals!F107</f>
        <v>15902</v>
      </c>
      <c r="G21" s="11">
        <f>+Historicals!G107</f>
        <v>14484</v>
      </c>
      <c r="H21" s="11">
        <f>+Historicals!H107</f>
        <v>17179</v>
      </c>
      <c r="I21" s="11">
        <f>+Historicals!I107</f>
        <v>18353</v>
      </c>
      <c r="J21" s="11">
        <f>+SUM(J23+J27+J31)</f>
        <v>18353</v>
      </c>
      <c r="K21" s="11">
        <f>+SUM(K23+K27+K31)</f>
        <v>18353</v>
      </c>
      <c r="L21" s="11">
        <f>+SUM(L23+L27+L31)</f>
        <v>18353</v>
      </c>
      <c r="M21" s="11">
        <f>+SUM(M23+M27+M31)</f>
        <v>18353</v>
      </c>
      <c r="N21" s="11">
        <f>+SUM(N23+N27+N31)</f>
        <v>18353</v>
      </c>
    </row>
    <row r="22" spans="1:15" x14ac:dyDescent="0.3">
      <c r="A22" s="48" t="s">
        <v>134</v>
      </c>
      <c r="B22" s="45" t="str">
        <f t="shared" ref="B22:N22" si="18">+IFERROR(B21/A21-1,"nm")</f>
        <v>nm</v>
      </c>
      <c r="C22" s="45">
        <f t="shared" si="18"/>
        <v>7.4526928675400228E-2</v>
      </c>
      <c r="D22" s="45">
        <f t="shared" si="18"/>
        <v>3.0615009482525046E-2</v>
      </c>
      <c r="E22" s="45">
        <f t="shared" si="18"/>
        <v>-2.372502628811779E-2</v>
      </c>
      <c r="F22" s="45">
        <f t="shared" si="18"/>
        <v>7.0481319421070276E-2</v>
      </c>
      <c r="G22" s="45">
        <f t="shared" si="18"/>
        <v>-8.9171173437303519E-2</v>
      </c>
      <c r="H22" s="45">
        <f t="shared" si="18"/>
        <v>0.18606738470035911</v>
      </c>
      <c r="I22" s="45">
        <f t="shared" si="18"/>
        <v>6.8339251411607238E-2</v>
      </c>
      <c r="J22" s="45">
        <f t="shared" si="18"/>
        <v>0</v>
      </c>
      <c r="K22" s="45">
        <f t="shared" si="18"/>
        <v>0</v>
      </c>
      <c r="L22" s="45">
        <f t="shared" si="18"/>
        <v>0</v>
      </c>
      <c r="M22" s="45">
        <f t="shared" si="18"/>
        <v>0</v>
      </c>
      <c r="N22" s="45">
        <f t="shared" si="18"/>
        <v>0</v>
      </c>
    </row>
    <row r="23" spans="1:15" x14ac:dyDescent="0.3">
      <c r="A23" s="49" t="s">
        <v>106</v>
      </c>
      <c r="B23" s="7">
        <f>+Historicals!B108</f>
        <v>8506</v>
      </c>
      <c r="C23" s="7">
        <f>+Historicals!C108</f>
        <v>9299</v>
      </c>
      <c r="D23" s="7">
        <f>+Historicals!D108</f>
        <v>9684</v>
      </c>
      <c r="E23" s="7">
        <f>+Historicals!E108</f>
        <v>9322</v>
      </c>
      <c r="F23" s="7">
        <f>+Historicals!F108</f>
        <v>10045</v>
      </c>
      <c r="G23" s="7">
        <f>+Historicals!G108</f>
        <v>9329</v>
      </c>
      <c r="H23" s="7">
        <f>+Historicals!H108</f>
        <v>11644</v>
      </c>
      <c r="I23" s="7">
        <f>+Historicals!I108</f>
        <v>12228</v>
      </c>
      <c r="J23" s="7">
        <f>+I23*(1+J24)</f>
        <v>12228</v>
      </c>
      <c r="K23" s="7">
        <f>+J23*(1+K24)</f>
        <v>12228</v>
      </c>
      <c r="L23" s="7">
        <f>+K23*(1+L24)</f>
        <v>12228</v>
      </c>
      <c r="M23" s="7">
        <f>+L23*(1+M24)</f>
        <v>12228</v>
      </c>
      <c r="N23" s="7">
        <f>+M23*(1+N24)</f>
        <v>12228</v>
      </c>
    </row>
    <row r="24" spans="1:15" x14ac:dyDescent="0.3">
      <c r="A24" s="48" t="s">
        <v>134</v>
      </c>
      <c r="B24" s="45" t="str">
        <f t="shared" ref="B24:I24" si="19">+IFERROR(B23/A23-1,"nm")</f>
        <v>nm</v>
      </c>
      <c r="C24" s="45">
        <f t="shared" si="19"/>
        <v>9.3228309428638578E-2</v>
      </c>
      <c r="D24" s="45">
        <f t="shared" si="19"/>
        <v>4.1402301322722934E-2</v>
      </c>
      <c r="E24" s="45">
        <f t="shared" si="19"/>
        <v>-3.7381247418422192E-2</v>
      </c>
      <c r="F24" s="45">
        <f t="shared" si="19"/>
        <v>7.755846384895948E-2</v>
      </c>
      <c r="G24" s="45">
        <f t="shared" si="19"/>
        <v>-7.1279243404678949E-2</v>
      </c>
      <c r="H24" s="45">
        <f t="shared" si="19"/>
        <v>0.24815092721620746</v>
      </c>
      <c r="I24" s="45">
        <f t="shared" si="19"/>
        <v>5.0154586052902683E-2</v>
      </c>
      <c r="J24" s="45">
        <f>+J25+J26</f>
        <v>0</v>
      </c>
      <c r="K24" s="45">
        <f>+K25+K26</f>
        <v>0</v>
      </c>
      <c r="L24" s="45">
        <f>+L25+L26</f>
        <v>0</v>
      </c>
      <c r="M24" s="45">
        <f>+M25+M26</f>
        <v>0</v>
      </c>
      <c r="N24" s="45">
        <f>+N25+N26</f>
        <v>0</v>
      </c>
    </row>
    <row r="25" spans="1:15" x14ac:dyDescent="0.3">
      <c r="A25" s="48" t="s">
        <v>149</v>
      </c>
      <c r="B25" s="45">
        <f>+Historicals!B180</f>
        <v>0.13488992661774515</v>
      </c>
      <c r="C25" s="45">
        <f>+Historicals!C180</f>
        <v>9.3228309428638606E-2</v>
      </c>
      <c r="D25" s="45">
        <f>+Historicals!D180</f>
        <v>4.1402301322722872E-2</v>
      </c>
      <c r="E25" s="45">
        <f>+Historicals!E180</f>
        <v>-3.7381247418422137E-2</v>
      </c>
      <c r="F25" s="45">
        <f>+Historicals!F180</f>
        <v>7.7558463848959452E-2</v>
      </c>
      <c r="G25" s="45">
        <f>+Historicals!G180</f>
        <v>-7.1279243404678949E-2</v>
      </c>
      <c r="H25" s="45">
        <f>+Historicals!H180</f>
        <v>0.24815092721620752</v>
      </c>
      <c r="I25" s="45">
        <f>+Historicals!I180</f>
        <v>0.05</v>
      </c>
      <c r="J25" s="50">
        <v>0</v>
      </c>
      <c r="K25" s="50">
        <f t="shared" ref="K25:N26" si="20">+J25</f>
        <v>0</v>
      </c>
      <c r="L25" s="50">
        <f t="shared" si="20"/>
        <v>0</v>
      </c>
      <c r="M25" s="50">
        <f t="shared" si="20"/>
        <v>0</v>
      </c>
      <c r="N25" s="50">
        <f t="shared" si="20"/>
        <v>0</v>
      </c>
    </row>
    <row r="26" spans="1:15" x14ac:dyDescent="0.3">
      <c r="A26" s="48" t="s">
        <v>150</v>
      </c>
      <c r="B26" s="45" t="str">
        <f t="shared" ref="B26:I26" si="21">+IFERROR(B24-B25,"nm")</f>
        <v>nm</v>
      </c>
      <c r="C26" s="45">
        <f t="shared" si="21"/>
        <v>-2.7755575615628914E-17</v>
      </c>
      <c r="D26" s="45">
        <f t="shared" si="21"/>
        <v>6.2450045135165055E-17</v>
      </c>
      <c r="E26" s="45">
        <f t="shared" si="21"/>
        <v>-5.5511151231257827E-17</v>
      </c>
      <c r="F26" s="45">
        <f t="shared" si="21"/>
        <v>2.7755575615628914E-17</v>
      </c>
      <c r="G26" s="45">
        <f t="shared" si="21"/>
        <v>0</v>
      </c>
      <c r="H26" s="45">
        <f t="shared" si="21"/>
        <v>-5.5511151231257827E-17</v>
      </c>
      <c r="I26" s="45">
        <f t="shared" si="21"/>
        <v>1.5458605290268046E-4</v>
      </c>
      <c r="J26" s="50">
        <v>0</v>
      </c>
      <c r="K26" s="50">
        <f t="shared" si="20"/>
        <v>0</v>
      </c>
      <c r="L26" s="50">
        <f t="shared" si="20"/>
        <v>0</v>
      </c>
      <c r="M26" s="50">
        <f t="shared" si="20"/>
        <v>0</v>
      </c>
      <c r="N26" s="50">
        <f t="shared" si="20"/>
        <v>0</v>
      </c>
    </row>
    <row r="27" spans="1:15" x14ac:dyDescent="0.3">
      <c r="A27" s="49" t="s">
        <v>107</v>
      </c>
      <c r="B27" s="7">
        <f>+Historicals!B109</f>
        <v>4410</v>
      </c>
      <c r="C27" s="7">
        <f>+Historicals!C109</f>
        <v>4746</v>
      </c>
      <c r="D27" s="7">
        <f>+Historicals!D109</f>
        <v>4886</v>
      </c>
      <c r="E27" s="7">
        <f>+Historicals!E109</f>
        <v>4938</v>
      </c>
      <c r="F27" s="7">
        <f>+Historicals!F109</f>
        <v>5260</v>
      </c>
      <c r="G27" s="7">
        <f>+Historicals!G109</f>
        <v>4639</v>
      </c>
      <c r="H27" s="7">
        <f>+Historicals!H109</f>
        <v>5028</v>
      </c>
      <c r="I27" s="7">
        <f>+Historicals!I109</f>
        <v>5492</v>
      </c>
      <c r="J27" s="7">
        <f>+I27*(1+J28)</f>
        <v>5492</v>
      </c>
      <c r="K27" s="7">
        <f>+J27*(1+K28)</f>
        <v>5492</v>
      </c>
      <c r="L27" s="7">
        <f>+K27*(1+L28)</f>
        <v>5492</v>
      </c>
      <c r="M27" s="7">
        <f>+L27*(1+M28)</f>
        <v>5492</v>
      </c>
      <c r="N27" s="7">
        <f>+M27*(1+N28)</f>
        <v>5492</v>
      </c>
    </row>
    <row r="28" spans="1:15" x14ac:dyDescent="0.3">
      <c r="A28" s="48" t="s">
        <v>134</v>
      </c>
      <c r="B28" s="45" t="str">
        <f t="shared" ref="B28:I28" si="22">+IFERROR(B27/A27-1,"nm")</f>
        <v>nm</v>
      </c>
      <c r="C28" s="45">
        <f t="shared" si="22"/>
        <v>7.6190476190476142E-2</v>
      </c>
      <c r="D28" s="45">
        <f t="shared" si="22"/>
        <v>2.9498525073746285E-2</v>
      </c>
      <c r="E28" s="45">
        <f t="shared" si="22"/>
        <v>1.0642652476463343E-2</v>
      </c>
      <c r="F28" s="45">
        <f t="shared" si="22"/>
        <v>6.5208586472256025E-2</v>
      </c>
      <c r="G28" s="45">
        <f t="shared" si="22"/>
        <v>-0.11806083650190113</v>
      </c>
      <c r="H28" s="45">
        <f t="shared" si="22"/>
        <v>8.3854278939426541E-2</v>
      </c>
      <c r="I28" s="45">
        <f t="shared" si="22"/>
        <v>9.2283214001591007E-2</v>
      </c>
      <c r="J28" s="45">
        <f>+J29+J30</f>
        <v>0</v>
      </c>
      <c r="K28" s="45">
        <f>+K29+K30</f>
        <v>0</v>
      </c>
      <c r="L28" s="45">
        <f>+L29+L30</f>
        <v>0</v>
      </c>
      <c r="M28" s="45">
        <f>+M29+M30</f>
        <v>0</v>
      </c>
      <c r="N28" s="45">
        <f>+N29+N30</f>
        <v>0</v>
      </c>
    </row>
    <row r="29" spans="1:15" x14ac:dyDescent="0.3">
      <c r="A29" s="48" t="s">
        <v>149</v>
      </c>
      <c r="B29" s="45">
        <f>+Historicals!B184</f>
        <v>0.15780403741999016</v>
      </c>
      <c r="C29" s="45">
        <f>+Historicals!C184</f>
        <v>7.2294280246651077E-2</v>
      </c>
      <c r="D29" s="45">
        <f>+Historicals!D184</f>
        <v>2.9545905215149711E-2</v>
      </c>
      <c r="E29" s="45">
        <f>+Historicals!E184</f>
        <v>0.13154853620955315</v>
      </c>
      <c r="F29" s="45">
        <f>+Historicals!F184</f>
        <v>7.114893617021277E-2</v>
      </c>
      <c r="G29" s="45">
        <f>+Historicals!G184</f>
        <v>-6.3721595423486418E-2</v>
      </c>
      <c r="H29" s="45">
        <f>+Historicals!H184</f>
        <v>0.18295994568906992</v>
      </c>
      <c r="I29" s="45">
        <f>+Historicals!I184</f>
        <v>0.09</v>
      </c>
      <c r="J29" s="50">
        <v>0</v>
      </c>
      <c r="K29" s="50">
        <f t="shared" ref="K29:N30" si="23">+J29</f>
        <v>0</v>
      </c>
      <c r="L29" s="50">
        <f t="shared" si="23"/>
        <v>0</v>
      </c>
      <c r="M29" s="50">
        <f t="shared" si="23"/>
        <v>0</v>
      </c>
      <c r="N29" s="50">
        <f t="shared" si="23"/>
        <v>0</v>
      </c>
    </row>
    <row r="30" spans="1:15" x14ac:dyDescent="0.3">
      <c r="A30" s="48" t="s">
        <v>150</v>
      </c>
      <c r="B30" s="45" t="str">
        <f t="shared" ref="B30:I30" si="24">+IFERROR(B28-B29,"nm")</f>
        <v>nm</v>
      </c>
      <c r="C30" s="45">
        <f t="shared" si="24"/>
        <v>3.8961959438250648E-3</v>
      </c>
      <c r="D30" s="45">
        <f t="shared" si="24"/>
        <v>-4.7380141403426806E-5</v>
      </c>
      <c r="E30" s="45">
        <f t="shared" si="24"/>
        <v>-0.1209058837330898</v>
      </c>
      <c r="F30" s="45">
        <f t="shared" si="24"/>
        <v>-5.9403496979567455E-3</v>
      </c>
      <c r="G30" s="45">
        <f t="shared" si="24"/>
        <v>-5.4339241078414716E-2</v>
      </c>
      <c r="H30" s="45">
        <f t="shared" si="24"/>
        <v>-9.9105666749643384E-2</v>
      </c>
      <c r="I30" s="45">
        <f t="shared" si="24"/>
        <v>2.2832140015910107E-3</v>
      </c>
      <c r="J30" s="50">
        <v>0</v>
      </c>
      <c r="K30" s="50">
        <f t="shared" si="23"/>
        <v>0</v>
      </c>
      <c r="L30" s="50">
        <f t="shared" si="23"/>
        <v>0</v>
      </c>
      <c r="M30" s="50">
        <f t="shared" si="23"/>
        <v>0</v>
      </c>
      <c r="N30" s="50">
        <f t="shared" si="23"/>
        <v>0</v>
      </c>
    </row>
    <row r="31" spans="1:15" x14ac:dyDescent="0.3">
      <c r="A31" s="49" t="s">
        <v>108</v>
      </c>
      <c r="B31" s="7">
        <f>+Historicals!B110</f>
        <v>824</v>
      </c>
      <c r="C31" s="7">
        <f>+Historicals!C110</f>
        <v>719</v>
      </c>
      <c r="D31" s="7">
        <f>+Historicals!D110</f>
        <v>646</v>
      </c>
      <c r="E31" s="7">
        <f>+Historicals!E110</f>
        <v>595</v>
      </c>
      <c r="F31" s="7">
        <f>+Historicals!F110</f>
        <v>597</v>
      </c>
      <c r="G31" s="7">
        <f>+Historicals!G110</f>
        <v>516</v>
      </c>
      <c r="H31" s="7">
        <f>+Historicals!H110</f>
        <v>507</v>
      </c>
      <c r="I31" s="7">
        <f>+Historicals!I110</f>
        <v>633</v>
      </c>
      <c r="J31" s="7">
        <f>+I31*(1+J32)</f>
        <v>633</v>
      </c>
      <c r="K31" s="7">
        <f>+J31*(1+K32)</f>
        <v>633</v>
      </c>
      <c r="L31" s="7">
        <f>+K31*(1+L32)</f>
        <v>633</v>
      </c>
      <c r="M31" s="7">
        <f>+L31*(1+M32)</f>
        <v>633</v>
      </c>
      <c r="N31" s="7">
        <f>+M31*(1+N32)</f>
        <v>633</v>
      </c>
    </row>
    <row r="32" spans="1:15" x14ac:dyDescent="0.3">
      <c r="A32" s="48" t="s">
        <v>134</v>
      </c>
      <c r="B32" s="45" t="str">
        <f t="shared" ref="B32:I32" si="25">+IFERROR(B31/A31-1,"nm")</f>
        <v>nm</v>
      </c>
      <c r="C32" s="45">
        <f t="shared" si="25"/>
        <v>-0.12742718446601942</v>
      </c>
      <c r="D32" s="45">
        <f t="shared" si="25"/>
        <v>-0.10152990264255912</v>
      </c>
      <c r="E32" s="45">
        <f t="shared" si="25"/>
        <v>-7.8947368421052655E-2</v>
      </c>
      <c r="F32" s="45">
        <f t="shared" si="25"/>
        <v>3.3613445378151141E-3</v>
      </c>
      <c r="G32" s="45">
        <f t="shared" si="25"/>
        <v>-0.13567839195979903</v>
      </c>
      <c r="H32" s="45">
        <f t="shared" si="25"/>
        <v>-1.744186046511631E-2</v>
      </c>
      <c r="I32" s="45">
        <f t="shared" si="25"/>
        <v>0.24852071005917153</v>
      </c>
      <c r="J32" s="45">
        <f>+J33+J34</f>
        <v>0</v>
      </c>
      <c r="K32" s="45">
        <f>+K33+K34</f>
        <v>0</v>
      </c>
      <c r="L32" s="45">
        <f>+L33+L34</f>
        <v>0</v>
      </c>
      <c r="M32" s="45">
        <f>+M33+M34</f>
        <v>0</v>
      </c>
      <c r="N32" s="45">
        <f>+N33+N34</f>
        <v>0</v>
      </c>
    </row>
    <row r="33" spans="1:14" x14ac:dyDescent="0.3">
      <c r="A33" s="48" t="s">
        <v>149</v>
      </c>
      <c r="B33" s="45">
        <f>+Historicals!B182</f>
        <v>-4.9596309111880045E-2</v>
      </c>
      <c r="C33" s="45">
        <f>+Historicals!C182</f>
        <v>-0.12742718446601942</v>
      </c>
      <c r="D33" s="45">
        <f>+Historicals!D182</f>
        <v>-0.10152990264255911</v>
      </c>
      <c r="E33" s="45">
        <f>+Historicals!E182</f>
        <v>-7.8947368421052627E-2</v>
      </c>
      <c r="F33" s="45">
        <f>+Historicals!F182</f>
        <v>3.3613445378151263E-3</v>
      </c>
      <c r="G33" s="45">
        <f>+Historicals!G182</f>
        <v>-0.135678391959799</v>
      </c>
      <c r="H33" s="45">
        <f>+Historicals!H182</f>
        <v>-1.7441860465116279E-2</v>
      </c>
      <c r="I33" s="45">
        <f>+Historicals!I182</f>
        <v>0.25</v>
      </c>
      <c r="J33" s="50">
        <v>0</v>
      </c>
      <c r="K33" s="50">
        <f t="shared" ref="K33:N34" si="26">+J33</f>
        <v>0</v>
      </c>
      <c r="L33" s="50">
        <f t="shared" si="26"/>
        <v>0</v>
      </c>
      <c r="M33" s="50">
        <f t="shared" si="26"/>
        <v>0</v>
      </c>
      <c r="N33" s="50">
        <f t="shared" si="26"/>
        <v>0</v>
      </c>
    </row>
    <row r="34" spans="1:14" x14ac:dyDescent="0.3">
      <c r="A34" s="48" t="s">
        <v>150</v>
      </c>
      <c r="B34" s="45" t="str">
        <f t="shared" ref="B34:I34" si="27">+IFERROR(B32-B33,"nm")</f>
        <v>nm</v>
      </c>
      <c r="C34" s="45">
        <f t="shared" si="27"/>
        <v>0</v>
      </c>
      <c r="D34" s="45">
        <f t="shared" si="27"/>
        <v>-1.3877787807814457E-17</v>
      </c>
      <c r="E34" s="45">
        <f t="shared" si="27"/>
        <v>-2.7755575615628914E-17</v>
      </c>
      <c r="F34" s="45">
        <f t="shared" si="27"/>
        <v>-1.214306433183765E-17</v>
      </c>
      <c r="G34" s="45">
        <f t="shared" si="27"/>
        <v>-2.7755575615628914E-17</v>
      </c>
      <c r="H34" s="45">
        <f t="shared" si="27"/>
        <v>-3.1225022567582528E-17</v>
      </c>
      <c r="I34" s="45">
        <f t="shared" si="27"/>
        <v>-1.4792899408284654E-3</v>
      </c>
      <c r="J34" s="50">
        <v>0</v>
      </c>
      <c r="K34" s="50">
        <f t="shared" si="26"/>
        <v>0</v>
      </c>
      <c r="L34" s="50">
        <f t="shared" si="26"/>
        <v>0</v>
      </c>
      <c r="M34" s="50">
        <f t="shared" si="26"/>
        <v>0</v>
      </c>
      <c r="N34" s="50">
        <f t="shared" si="26"/>
        <v>0</v>
      </c>
    </row>
    <row r="35" spans="1:14" x14ac:dyDescent="0.3">
      <c r="A35" s="11" t="s">
        <v>135</v>
      </c>
      <c r="B35" s="51">
        <f t="shared" ref="B35:I35" si="28">+B42+B38</f>
        <v>3766</v>
      </c>
      <c r="C35" s="51">
        <f t="shared" si="28"/>
        <v>3896</v>
      </c>
      <c r="D35" s="51">
        <f t="shared" si="28"/>
        <v>4015</v>
      </c>
      <c r="E35" s="51">
        <f t="shared" si="28"/>
        <v>3760</v>
      </c>
      <c r="F35" s="51">
        <f t="shared" si="28"/>
        <v>4074</v>
      </c>
      <c r="G35" s="51">
        <f t="shared" si="28"/>
        <v>3047</v>
      </c>
      <c r="H35" s="51">
        <f t="shared" si="28"/>
        <v>5219</v>
      </c>
      <c r="I35" s="51">
        <f t="shared" si="28"/>
        <v>5238</v>
      </c>
      <c r="J35" s="51">
        <f>+J21*J37</f>
        <v>5238</v>
      </c>
      <c r="K35" s="51">
        <f>+K21*K37</f>
        <v>5238</v>
      </c>
      <c r="L35" s="51">
        <f>+L21*L37</f>
        <v>5238</v>
      </c>
      <c r="M35" s="51">
        <f>+M21*M37</f>
        <v>5238</v>
      </c>
      <c r="N35" s="51">
        <f>+N21*N37</f>
        <v>5238</v>
      </c>
    </row>
    <row r="36" spans="1:14" x14ac:dyDescent="0.3">
      <c r="A36" s="43" t="s">
        <v>134</v>
      </c>
      <c r="B36" s="45" t="str">
        <f t="shared" ref="B36:N36" si="29">+IFERROR(B35/A35-1,"nm")</f>
        <v>nm</v>
      </c>
      <c r="C36" s="45">
        <f t="shared" si="29"/>
        <v>3.4519383961763239E-2</v>
      </c>
      <c r="D36" s="45">
        <f t="shared" si="29"/>
        <v>3.0544147843942548E-2</v>
      </c>
      <c r="E36" s="45">
        <f t="shared" si="29"/>
        <v>-6.3511830635118338E-2</v>
      </c>
      <c r="F36" s="45">
        <f t="shared" si="29"/>
        <v>8.3510638297872308E-2</v>
      </c>
      <c r="G36" s="45">
        <f t="shared" si="29"/>
        <v>-0.25208640157093765</v>
      </c>
      <c r="H36" s="45">
        <f t="shared" si="29"/>
        <v>0.71283229405973092</v>
      </c>
      <c r="I36" s="45">
        <f t="shared" si="29"/>
        <v>3.6405441655489312E-3</v>
      </c>
      <c r="J36" s="45">
        <f t="shared" si="29"/>
        <v>0</v>
      </c>
      <c r="K36" s="45">
        <f t="shared" si="29"/>
        <v>0</v>
      </c>
      <c r="L36" s="45">
        <f t="shared" si="29"/>
        <v>0</v>
      </c>
      <c r="M36" s="45">
        <f t="shared" si="29"/>
        <v>0</v>
      </c>
      <c r="N36" s="45">
        <f t="shared" si="29"/>
        <v>0</v>
      </c>
    </row>
    <row r="37" spans="1:14" x14ac:dyDescent="0.3">
      <c r="A37" s="43" t="s">
        <v>137</v>
      </c>
      <c r="B37" s="45">
        <f t="shared" ref="B37:I37" si="30">+IFERROR(B35/B$21,"nm")</f>
        <v>0.27409024745269289</v>
      </c>
      <c r="C37" s="45">
        <f t="shared" si="30"/>
        <v>0.26388512598211866</v>
      </c>
      <c r="D37" s="45">
        <f t="shared" si="30"/>
        <v>0.26386698212407994</v>
      </c>
      <c r="E37" s="45">
        <f t="shared" si="30"/>
        <v>0.25311342982160889</v>
      </c>
      <c r="F37" s="45">
        <f t="shared" si="30"/>
        <v>0.25619418941013711</v>
      </c>
      <c r="G37" s="45">
        <f t="shared" si="30"/>
        <v>0.2103700635183651</v>
      </c>
      <c r="H37" s="45">
        <f t="shared" si="30"/>
        <v>0.30380115256999823</v>
      </c>
      <c r="I37" s="45">
        <f t="shared" si="30"/>
        <v>0.28540293140086087</v>
      </c>
      <c r="J37" s="50">
        <f>+I37</f>
        <v>0.28540293140086087</v>
      </c>
      <c r="K37" s="50">
        <f>+J37</f>
        <v>0.28540293140086087</v>
      </c>
      <c r="L37" s="50">
        <f>+K37</f>
        <v>0.28540293140086087</v>
      </c>
      <c r="M37" s="50">
        <f>+L37</f>
        <v>0.28540293140086087</v>
      </c>
      <c r="N37" s="50">
        <f>+M37</f>
        <v>0.28540293140086087</v>
      </c>
    </row>
    <row r="38" spans="1:14" x14ac:dyDescent="0.3">
      <c r="A38" s="11" t="s">
        <v>138</v>
      </c>
      <c r="B38" s="11">
        <f>+Historicals!B167</f>
        <v>121</v>
      </c>
      <c r="C38" s="11">
        <f>+Historicals!C167</f>
        <v>133</v>
      </c>
      <c r="D38" s="11">
        <f>+Historicals!D167</f>
        <v>140</v>
      </c>
      <c r="E38" s="11">
        <f>+Historicals!E167</f>
        <v>160</v>
      </c>
      <c r="F38" s="11">
        <f>+Historicals!F167</f>
        <v>149</v>
      </c>
      <c r="G38" s="11">
        <f>+Historicals!G167</f>
        <v>148</v>
      </c>
      <c r="H38" s="11">
        <f>+Historicals!H167</f>
        <v>130</v>
      </c>
      <c r="I38" s="11">
        <f>+Historicals!I167</f>
        <v>124</v>
      </c>
      <c r="J38" s="51">
        <f>+J41*J48</f>
        <v>124.00000000000001</v>
      </c>
      <c r="K38" s="51">
        <f>+K41*K48</f>
        <v>124.00000000000001</v>
      </c>
      <c r="L38" s="51">
        <f>+L41*L48</f>
        <v>124.00000000000001</v>
      </c>
      <c r="M38" s="51">
        <f>+M41*M48</f>
        <v>124.00000000000001</v>
      </c>
      <c r="N38" s="51">
        <f>+N41*N48</f>
        <v>124.00000000000001</v>
      </c>
    </row>
    <row r="39" spans="1:14" x14ac:dyDescent="0.3">
      <c r="A39" s="43" t="s">
        <v>134</v>
      </c>
      <c r="B39" s="45" t="str">
        <f t="shared" ref="B39:N39" si="31">+IFERROR(B38/A38-1,"nm")</f>
        <v>nm</v>
      </c>
      <c r="C39" s="45">
        <f t="shared" si="31"/>
        <v>9.9173553719008156E-2</v>
      </c>
      <c r="D39" s="45">
        <f t="shared" si="31"/>
        <v>5.2631578947368363E-2</v>
      </c>
      <c r="E39" s="45">
        <f t="shared" si="31"/>
        <v>0.14285714285714279</v>
      </c>
      <c r="F39" s="45">
        <f t="shared" si="31"/>
        <v>-6.8749999999999978E-2</v>
      </c>
      <c r="G39" s="45">
        <f t="shared" si="31"/>
        <v>-6.7114093959731447E-3</v>
      </c>
      <c r="H39" s="45">
        <f t="shared" si="31"/>
        <v>-0.1216216216216216</v>
      </c>
      <c r="I39" s="45">
        <f t="shared" si="31"/>
        <v>-4.6153846153846101E-2</v>
      </c>
      <c r="J39" s="45">
        <f t="shared" si="31"/>
        <v>2.2204460492503131E-16</v>
      </c>
      <c r="K39" s="45">
        <f t="shared" si="31"/>
        <v>0</v>
      </c>
      <c r="L39" s="45">
        <f t="shared" si="31"/>
        <v>0</v>
      </c>
      <c r="M39" s="45">
        <f t="shared" si="31"/>
        <v>0</v>
      </c>
      <c r="N39" s="45">
        <f t="shared" si="31"/>
        <v>0</v>
      </c>
    </row>
    <row r="40" spans="1:14" x14ac:dyDescent="0.3">
      <c r="A40" s="43" t="s">
        <v>141</v>
      </c>
      <c r="B40" s="45">
        <f t="shared" ref="B40:N40" si="32">+IFERROR(B38/B$21,"nm")</f>
        <v>8.8064046579330417E-3</v>
      </c>
      <c r="C40" s="45">
        <f t="shared" si="32"/>
        <v>9.0083988079111346E-3</v>
      </c>
      <c r="D40" s="45">
        <f t="shared" si="32"/>
        <v>9.2008412197686646E-3</v>
      </c>
      <c r="E40" s="45">
        <f t="shared" si="32"/>
        <v>1.0770784247728038E-2</v>
      </c>
      <c r="F40" s="45">
        <f t="shared" si="32"/>
        <v>9.3698905798012821E-3</v>
      </c>
      <c r="G40" s="45">
        <f t="shared" si="32"/>
        <v>1.0218171775752554E-2</v>
      </c>
      <c r="H40" s="45">
        <f t="shared" si="32"/>
        <v>7.5673787764130628E-3</v>
      </c>
      <c r="I40" s="45">
        <f t="shared" si="32"/>
        <v>6.7563886013185855E-3</v>
      </c>
      <c r="J40" s="45">
        <f t="shared" si="32"/>
        <v>6.7563886013185864E-3</v>
      </c>
      <c r="K40" s="45">
        <f t="shared" si="32"/>
        <v>6.7563886013185864E-3</v>
      </c>
      <c r="L40" s="45">
        <f t="shared" si="32"/>
        <v>6.7563886013185864E-3</v>
      </c>
      <c r="M40" s="45">
        <f t="shared" si="32"/>
        <v>6.7563886013185864E-3</v>
      </c>
      <c r="N40" s="45">
        <f t="shared" si="32"/>
        <v>6.7563886013185864E-3</v>
      </c>
    </row>
    <row r="41" spans="1:14" x14ac:dyDescent="0.3">
      <c r="A41" s="43" t="s">
        <v>151</v>
      </c>
      <c r="B41" s="45">
        <f t="shared" ref="B41:I41" si="33">+IFERROR(B38/B48,"nm")</f>
        <v>0.19145569620253164</v>
      </c>
      <c r="C41" s="45">
        <f t="shared" si="33"/>
        <v>0.17924528301886791</v>
      </c>
      <c r="D41" s="45">
        <f t="shared" si="33"/>
        <v>0.17094017094017094</v>
      </c>
      <c r="E41" s="45">
        <f t="shared" si="33"/>
        <v>0.18867924528301888</v>
      </c>
      <c r="F41" s="45">
        <f t="shared" si="33"/>
        <v>0.18304668304668303</v>
      </c>
      <c r="G41" s="45">
        <f t="shared" si="33"/>
        <v>0.22945736434108527</v>
      </c>
      <c r="H41" s="45">
        <f t="shared" si="33"/>
        <v>0.21069692058346839</v>
      </c>
      <c r="I41" s="45">
        <f t="shared" si="33"/>
        <v>0.19405320813771518</v>
      </c>
      <c r="J41" s="50">
        <f>+I41</f>
        <v>0.19405320813771518</v>
      </c>
      <c r="K41" s="50">
        <f>+J41</f>
        <v>0.19405320813771518</v>
      </c>
      <c r="L41" s="50">
        <f>+K41</f>
        <v>0.19405320813771518</v>
      </c>
      <c r="M41" s="50">
        <f>+L41</f>
        <v>0.19405320813771518</v>
      </c>
      <c r="N41" s="50">
        <f>+M41</f>
        <v>0.19405320813771518</v>
      </c>
    </row>
    <row r="42" spans="1:14" x14ac:dyDescent="0.3">
      <c r="A42" s="11" t="s">
        <v>142</v>
      </c>
      <c r="B42" s="11">
        <f>+Historicals!B134</f>
        <v>3645</v>
      </c>
      <c r="C42" s="11">
        <f>+Historicals!C134</f>
        <v>3763</v>
      </c>
      <c r="D42" s="11">
        <f>+Historicals!D134</f>
        <v>3875</v>
      </c>
      <c r="E42" s="11">
        <f>+Historicals!E134</f>
        <v>3600</v>
      </c>
      <c r="F42" s="11">
        <f>+Historicals!F134</f>
        <v>3925</v>
      </c>
      <c r="G42" s="11">
        <f>+Historicals!G134</f>
        <v>2899</v>
      </c>
      <c r="H42" s="11">
        <f>+Historicals!H134</f>
        <v>5089</v>
      </c>
      <c r="I42" s="11">
        <f>+Historicals!I134</f>
        <v>5114</v>
      </c>
      <c r="J42" s="11">
        <f>+J35-J38</f>
        <v>5114</v>
      </c>
      <c r="K42" s="11">
        <f>+K35-K38</f>
        <v>5114</v>
      </c>
      <c r="L42" s="11">
        <f>+L35-L38</f>
        <v>5114</v>
      </c>
      <c r="M42" s="11">
        <f>+M35-M38</f>
        <v>5114</v>
      </c>
      <c r="N42" s="11">
        <f>+N35-N38</f>
        <v>5114</v>
      </c>
    </row>
    <row r="43" spans="1:14" x14ac:dyDescent="0.3">
      <c r="A43" s="43" t="s">
        <v>134</v>
      </c>
      <c r="B43" s="45" t="str">
        <f t="shared" ref="B43:N43" si="34">+IFERROR(B42/A42-1,"nm")</f>
        <v>nm</v>
      </c>
      <c r="C43" s="45">
        <f t="shared" si="34"/>
        <v>3.2373113854595292E-2</v>
      </c>
      <c r="D43" s="45">
        <f t="shared" si="34"/>
        <v>2.9763486579856391E-2</v>
      </c>
      <c r="E43" s="45">
        <f t="shared" si="34"/>
        <v>-7.096774193548383E-2</v>
      </c>
      <c r="F43" s="45">
        <f t="shared" si="34"/>
        <v>9.0277777777777679E-2</v>
      </c>
      <c r="G43" s="45">
        <f t="shared" si="34"/>
        <v>-0.26140127388535028</v>
      </c>
      <c r="H43" s="45">
        <f t="shared" si="34"/>
        <v>0.75543290789927564</v>
      </c>
      <c r="I43" s="45">
        <f t="shared" si="34"/>
        <v>4.9125564943997002E-3</v>
      </c>
      <c r="J43" s="45">
        <f t="shared" si="34"/>
        <v>0</v>
      </c>
      <c r="K43" s="45">
        <f t="shared" si="34"/>
        <v>0</v>
      </c>
      <c r="L43" s="45">
        <f t="shared" si="34"/>
        <v>0</v>
      </c>
      <c r="M43" s="45">
        <f t="shared" si="34"/>
        <v>0</v>
      </c>
      <c r="N43" s="45">
        <f t="shared" si="34"/>
        <v>0</v>
      </c>
    </row>
    <row r="44" spans="1:14" x14ac:dyDescent="0.3">
      <c r="A44" s="43" t="s">
        <v>137</v>
      </c>
      <c r="B44" s="45">
        <f t="shared" ref="B44:N44" si="35">+IFERROR(B42/B$21,"nm")</f>
        <v>0.26528384279475981</v>
      </c>
      <c r="C44" s="45">
        <f t="shared" si="35"/>
        <v>0.25487672717420751</v>
      </c>
      <c r="D44" s="45">
        <f t="shared" si="35"/>
        <v>0.25466614090431128</v>
      </c>
      <c r="E44" s="45">
        <f t="shared" si="35"/>
        <v>0.24234264557388085</v>
      </c>
      <c r="F44" s="45">
        <f t="shared" si="35"/>
        <v>0.2468242988303358</v>
      </c>
      <c r="G44" s="45">
        <f t="shared" si="35"/>
        <v>0.20015189174261253</v>
      </c>
      <c r="H44" s="45">
        <f t="shared" si="35"/>
        <v>0.29623377379358518</v>
      </c>
      <c r="I44" s="45">
        <f t="shared" si="35"/>
        <v>0.27864654279954232</v>
      </c>
      <c r="J44" s="45">
        <f t="shared" si="35"/>
        <v>0.27864654279954232</v>
      </c>
      <c r="K44" s="45">
        <f t="shared" si="35"/>
        <v>0.27864654279954232</v>
      </c>
      <c r="L44" s="45">
        <f t="shared" si="35"/>
        <v>0.27864654279954232</v>
      </c>
      <c r="M44" s="45">
        <f t="shared" si="35"/>
        <v>0.27864654279954232</v>
      </c>
      <c r="N44" s="45">
        <f t="shared" si="35"/>
        <v>0.27864654279954232</v>
      </c>
    </row>
    <row r="45" spans="1:14" x14ac:dyDescent="0.3">
      <c r="A45" s="11" t="s">
        <v>144</v>
      </c>
      <c r="B45" s="11">
        <f>+Historicals!B156</f>
        <v>208</v>
      </c>
      <c r="C45" s="11">
        <f>+Historicals!C156</f>
        <v>242</v>
      </c>
      <c r="D45" s="11">
        <f>+Historicals!D156</f>
        <v>223</v>
      </c>
      <c r="E45" s="11">
        <f>+Historicals!E156</f>
        <v>196</v>
      </c>
      <c r="F45" s="11">
        <f>+Historicals!F156</f>
        <v>117</v>
      </c>
      <c r="G45" s="11">
        <f>+Historicals!G156</f>
        <v>110</v>
      </c>
      <c r="H45" s="11">
        <f>+Historicals!H156</f>
        <v>98</v>
      </c>
      <c r="I45" s="11">
        <f>+Historicals!I156</f>
        <v>146</v>
      </c>
      <c r="J45" s="51">
        <f>+J21*J47</f>
        <v>146</v>
      </c>
      <c r="K45" s="51">
        <f>+K21*K47</f>
        <v>146</v>
      </c>
      <c r="L45" s="51">
        <f>+L21*L47</f>
        <v>146</v>
      </c>
      <c r="M45" s="51">
        <f>+M21*M47</f>
        <v>146</v>
      </c>
      <c r="N45" s="51">
        <f>+N21*N47</f>
        <v>146</v>
      </c>
    </row>
    <row r="46" spans="1:14" x14ac:dyDescent="0.3">
      <c r="A46" s="43" t="s">
        <v>134</v>
      </c>
      <c r="B46" s="45" t="str">
        <f t="shared" ref="B46:N46" si="36">+IFERROR(B45/A45-1,"nm")</f>
        <v>nm</v>
      </c>
      <c r="C46" s="45">
        <f t="shared" si="36"/>
        <v>0.16346153846153855</v>
      </c>
      <c r="D46" s="45">
        <f t="shared" si="36"/>
        <v>-7.8512396694214837E-2</v>
      </c>
      <c r="E46" s="45">
        <f t="shared" si="36"/>
        <v>-0.12107623318385652</v>
      </c>
      <c r="F46" s="45">
        <f t="shared" si="36"/>
        <v>-0.40306122448979587</v>
      </c>
      <c r="G46" s="45">
        <f t="shared" si="36"/>
        <v>-5.9829059829059839E-2</v>
      </c>
      <c r="H46" s="45">
        <f t="shared" si="36"/>
        <v>-0.10909090909090913</v>
      </c>
      <c r="I46" s="45">
        <f t="shared" si="36"/>
        <v>0.48979591836734704</v>
      </c>
      <c r="J46" s="45">
        <f t="shared" si="36"/>
        <v>0</v>
      </c>
      <c r="K46" s="45">
        <f t="shared" si="36"/>
        <v>0</v>
      </c>
      <c r="L46" s="45">
        <f t="shared" si="36"/>
        <v>0</v>
      </c>
      <c r="M46" s="45">
        <f t="shared" si="36"/>
        <v>0</v>
      </c>
      <c r="N46" s="45">
        <f t="shared" si="36"/>
        <v>0</v>
      </c>
    </row>
    <row r="47" spans="1:14" x14ac:dyDescent="0.3">
      <c r="A47" s="43" t="s">
        <v>141</v>
      </c>
      <c r="B47" s="45">
        <f t="shared" ref="B47:I47" si="37">+IFERROR(B45/B$21,"nm")</f>
        <v>1.5138282387190683E-2</v>
      </c>
      <c r="C47" s="45">
        <f t="shared" si="37"/>
        <v>1.6391221891086428E-2</v>
      </c>
      <c r="D47" s="45">
        <f t="shared" si="37"/>
        <v>1.4655625657202945E-2</v>
      </c>
      <c r="E47" s="45">
        <f t="shared" si="37"/>
        <v>1.3194210703466847E-2</v>
      </c>
      <c r="F47" s="45">
        <f t="shared" si="37"/>
        <v>7.3575650861526856E-3</v>
      </c>
      <c r="G47" s="45">
        <f t="shared" si="37"/>
        <v>7.5945871306268989E-3</v>
      </c>
      <c r="H47" s="45">
        <f t="shared" si="37"/>
        <v>5.7046393852960009E-3</v>
      </c>
      <c r="I47" s="45">
        <f t="shared" si="37"/>
        <v>7.9551027080041418E-3</v>
      </c>
      <c r="J47" s="50">
        <f>+I47</f>
        <v>7.9551027080041418E-3</v>
      </c>
      <c r="K47" s="50">
        <f>+J47</f>
        <v>7.9551027080041418E-3</v>
      </c>
      <c r="L47" s="50">
        <f>+K47</f>
        <v>7.9551027080041418E-3</v>
      </c>
      <c r="M47" s="50">
        <f>+L47</f>
        <v>7.9551027080041418E-3</v>
      </c>
      <c r="N47" s="50">
        <f>+M47</f>
        <v>7.9551027080041418E-3</v>
      </c>
    </row>
    <row r="48" spans="1:14" x14ac:dyDescent="0.3">
      <c r="A48" s="11" t="s">
        <v>146</v>
      </c>
      <c r="B48" s="11">
        <f>+Historicals!B145</f>
        <v>632</v>
      </c>
      <c r="C48" s="11">
        <f>+Historicals!C145</f>
        <v>742</v>
      </c>
      <c r="D48" s="11">
        <f>+Historicals!D145</f>
        <v>819</v>
      </c>
      <c r="E48" s="11">
        <f>+Historicals!E145</f>
        <v>848</v>
      </c>
      <c r="F48" s="11">
        <f>+Historicals!F145</f>
        <v>814</v>
      </c>
      <c r="G48" s="11">
        <f>+Historicals!G145</f>
        <v>645</v>
      </c>
      <c r="H48" s="11">
        <f>+Historicals!H145</f>
        <v>617</v>
      </c>
      <c r="I48" s="11">
        <f>+Historicals!I145</f>
        <v>639</v>
      </c>
      <c r="J48" s="51">
        <f>+J21*J50</f>
        <v>639.00000000000011</v>
      </c>
      <c r="K48" s="51">
        <f>+K21*K50</f>
        <v>639.00000000000011</v>
      </c>
      <c r="L48" s="51">
        <f>+L21*L50</f>
        <v>639.00000000000011</v>
      </c>
      <c r="M48" s="51">
        <f>+M21*M50</f>
        <v>639.00000000000011</v>
      </c>
      <c r="N48" s="51">
        <f>+N21*N50</f>
        <v>639.00000000000011</v>
      </c>
    </row>
    <row r="49" spans="1:14" x14ac:dyDescent="0.3">
      <c r="A49" s="43" t="s">
        <v>134</v>
      </c>
      <c r="B49" s="45" t="str">
        <f t="shared" ref="B49:I49" si="38">+IFERROR(B48/A48-1,"nm")</f>
        <v>nm</v>
      </c>
      <c r="C49" s="45">
        <f t="shared" si="38"/>
        <v>0.17405063291139244</v>
      </c>
      <c r="D49" s="45">
        <f t="shared" si="38"/>
        <v>0.10377358490566047</v>
      </c>
      <c r="E49" s="45">
        <f t="shared" si="38"/>
        <v>3.5409035409035505E-2</v>
      </c>
      <c r="F49" s="45">
        <f t="shared" si="38"/>
        <v>-4.0094339622641528E-2</v>
      </c>
      <c r="G49" s="45">
        <f t="shared" si="38"/>
        <v>-0.20761670761670759</v>
      </c>
      <c r="H49" s="45">
        <f t="shared" si="38"/>
        <v>-4.3410852713178349E-2</v>
      </c>
      <c r="I49" s="45">
        <f t="shared" si="38"/>
        <v>3.5656401944894611E-2</v>
      </c>
      <c r="J49" s="45">
        <f>+J50+J51</f>
        <v>3.4817196098730456E-2</v>
      </c>
      <c r="K49" s="45">
        <f>+K50+K51</f>
        <v>3.4817196098730456E-2</v>
      </c>
      <c r="L49" s="45">
        <f>+L50+L51</f>
        <v>3.4817196098730456E-2</v>
      </c>
      <c r="M49" s="45">
        <f>+M50+M51</f>
        <v>3.4817196098730456E-2</v>
      </c>
      <c r="N49" s="45">
        <f>+N50+N51</f>
        <v>3.4817196098730456E-2</v>
      </c>
    </row>
    <row r="50" spans="1:14" x14ac:dyDescent="0.3">
      <c r="A50" s="43" t="s">
        <v>141</v>
      </c>
      <c r="B50" s="45">
        <f t="shared" ref="B50:I50" si="39">+IFERROR(B48/B$21,"nm")</f>
        <v>4.599708879184862E-2</v>
      </c>
      <c r="C50" s="45">
        <f t="shared" si="39"/>
        <v>5.0257382823083174E-2</v>
      </c>
      <c r="D50" s="45">
        <f t="shared" si="39"/>
        <v>5.3824921135646686E-2</v>
      </c>
      <c r="E50" s="45">
        <f t="shared" si="39"/>
        <v>5.7085156512958597E-2</v>
      </c>
      <c r="F50" s="45">
        <f t="shared" si="39"/>
        <v>5.1188529744686205E-2</v>
      </c>
      <c r="G50" s="45">
        <f t="shared" si="39"/>
        <v>4.4531897265948632E-2</v>
      </c>
      <c r="H50" s="45">
        <f t="shared" si="39"/>
        <v>3.5915943884975841E-2</v>
      </c>
      <c r="I50" s="45">
        <f t="shared" si="39"/>
        <v>3.4817196098730456E-2</v>
      </c>
      <c r="J50" s="50">
        <f>+I50</f>
        <v>3.4817196098730456E-2</v>
      </c>
      <c r="K50" s="50">
        <f>+J50</f>
        <v>3.4817196098730456E-2</v>
      </c>
      <c r="L50" s="50">
        <f>+K50</f>
        <v>3.4817196098730456E-2</v>
      </c>
      <c r="M50" s="50">
        <f>+L50</f>
        <v>3.4817196098730456E-2</v>
      </c>
      <c r="N50" s="50">
        <f>+M50</f>
        <v>3.4817196098730456E-2</v>
      </c>
    </row>
    <row r="51" spans="1:14" x14ac:dyDescent="0.3">
      <c r="A51" s="47" t="s">
        <v>109</v>
      </c>
      <c r="B51" s="47"/>
      <c r="C51" s="47"/>
      <c r="D51" s="47"/>
      <c r="E51" s="47"/>
      <c r="F51" s="47"/>
      <c r="G51" s="47"/>
      <c r="H51" s="47"/>
      <c r="I51" s="47"/>
      <c r="J51" s="41"/>
      <c r="K51" s="41"/>
      <c r="L51" s="41"/>
      <c r="M51" s="41"/>
      <c r="N51" s="41"/>
    </row>
    <row r="52" spans="1:14" x14ac:dyDescent="0.3">
      <c r="A52" s="11" t="s">
        <v>148</v>
      </c>
      <c r="B52" s="10">
        <f t="shared" ref="B52:N52" si="40">B54+B58+B62</f>
        <v>7126</v>
      </c>
      <c r="C52" s="10">
        <f t="shared" si="40"/>
        <v>7568</v>
      </c>
      <c r="D52" s="10">
        <f t="shared" si="40"/>
        <v>7970</v>
      </c>
      <c r="E52" s="10">
        <f t="shared" si="40"/>
        <v>9242</v>
      </c>
      <c r="F52" s="10">
        <f t="shared" si="40"/>
        <v>9812</v>
      </c>
      <c r="G52" s="10">
        <f t="shared" si="40"/>
        <v>9347</v>
      </c>
      <c r="H52" s="10">
        <f t="shared" si="40"/>
        <v>11456</v>
      </c>
      <c r="I52" s="10">
        <f t="shared" si="40"/>
        <v>12479</v>
      </c>
      <c r="J52" s="10">
        <f t="shared" si="40"/>
        <v>12479</v>
      </c>
      <c r="K52" s="10">
        <f t="shared" si="40"/>
        <v>12479</v>
      </c>
      <c r="L52" s="10">
        <f t="shared" si="40"/>
        <v>12479</v>
      </c>
      <c r="M52" s="10">
        <f t="shared" si="40"/>
        <v>12479</v>
      </c>
      <c r="N52" s="10">
        <f t="shared" si="40"/>
        <v>12479</v>
      </c>
    </row>
    <row r="53" spans="1:14" x14ac:dyDescent="0.3">
      <c r="A53" s="48" t="s">
        <v>134</v>
      </c>
      <c r="B53" s="52">
        <f>+Historicals!B183</f>
        <v>0.1193842287150487</v>
      </c>
      <c r="C53" s="52">
        <f>+Historicals!C183</f>
        <v>6.2026382262138649E-2</v>
      </c>
      <c r="D53" s="52">
        <f>+Historicals!D183</f>
        <v>5.3118393234672302E-2</v>
      </c>
      <c r="E53" s="52">
        <f>+Historicals!E183</f>
        <v>0.15959849435382686</v>
      </c>
      <c r="F53" s="52">
        <f>+Historicals!F183</f>
        <v>6.1674962129409219E-2</v>
      </c>
      <c r="G53" s="52">
        <f>+Historicals!G183</f>
        <v>-4.7390949857317573E-2</v>
      </c>
      <c r="H53" s="52">
        <f>+Historicals!H183</f>
        <v>0.22563389322777361</v>
      </c>
      <c r="I53" s="52">
        <f>+Historicals!I183</f>
        <v>0.12</v>
      </c>
      <c r="J53" s="53">
        <v>0</v>
      </c>
      <c r="K53" s="53">
        <v>0</v>
      </c>
      <c r="L53" s="53">
        <v>0</v>
      </c>
      <c r="M53" s="53">
        <v>0</v>
      </c>
      <c r="N53" s="53">
        <v>0</v>
      </c>
    </row>
    <row r="54" spans="1:14" x14ac:dyDescent="0.3">
      <c r="A54" s="49" t="s">
        <v>106</v>
      </c>
      <c r="B54" s="10">
        <f>+Historicals!B112</f>
        <v>4703</v>
      </c>
      <c r="C54" s="10">
        <f>+Historicals!C112</f>
        <v>5043</v>
      </c>
      <c r="D54" s="10">
        <f>+Historicals!D112</f>
        <v>5192</v>
      </c>
      <c r="E54" s="10">
        <f>+Historicals!E112</f>
        <v>5875</v>
      </c>
      <c r="F54" s="10">
        <f>+Historicals!F112</f>
        <v>6293</v>
      </c>
      <c r="G54" s="10">
        <f>+Historicals!G112</f>
        <v>5892</v>
      </c>
      <c r="H54" s="54">
        <f>+Historicals!H112</f>
        <v>6970</v>
      </c>
      <c r="I54" s="54">
        <f>+Historicals!I112</f>
        <v>7388</v>
      </c>
      <c r="J54" s="10">
        <f>I54*(1+J55)</f>
        <v>7388</v>
      </c>
      <c r="K54" s="10">
        <f>J54*(1+K55)</f>
        <v>7388</v>
      </c>
      <c r="L54" s="10">
        <f>K54*(1+L55)</f>
        <v>7388</v>
      </c>
      <c r="M54" s="10">
        <f>L54*(1+M55)</f>
        <v>7388</v>
      </c>
      <c r="N54" s="10">
        <f>M54*(1+N55)</f>
        <v>7388</v>
      </c>
    </row>
    <row r="55" spans="1:14" x14ac:dyDescent="0.3">
      <c r="A55" s="48" t="s">
        <v>134</v>
      </c>
      <c r="B55" s="55" t="s">
        <v>140</v>
      </c>
      <c r="C55" s="53">
        <f t="shared" ref="C55:I55" si="41">(C54-B54)/C54</f>
        <v>6.7420186396985923E-2</v>
      </c>
      <c r="D55" s="53">
        <f t="shared" si="41"/>
        <v>2.86979969183359E-2</v>
      </c>
      <c r="E55" s="53">
        <f t="shared" si="41"/>
        <v>0.11625531914893616</v>
      </c>
      <c r="F55" s="53">
        <f t="shared" si="41"/>
        <v>6.6423009693310026E-2</v>
      </c>
      <c r="G55" s="53">
        <f t="shared" si="41"/>
        <v>-6.8058384249830281E-2</v>
      </c>
      <c r="H55" s="53">
        <f t="shared" si="41"/>
        <v>0.15466284074605452</v>
      </c>
      <c r="I55" s="53">
        <f t="shared" si="41"/>
        <v>5.6578234975636167E-2</v>
      </c>
      <c r="J55" s="53">
        <v>0</v>
      </c>
      <c r="K55" s="53">
        <v>0</v>
      </c>
      <c r="L55" s="53">
        <v>0</v>
      </c>
      <c r="M55" s="53">
        <v>0</v>
      </c>
      <c r="N55" s="53">
        <v>0</v>
      </c>
    </row>
    <row r="56" spans="1:14" x14ac:dyDescent="0.3">
      <c r="A56" s="48" t="s">
        <v>149</v>
      </c>
      <c r="B56" s="52">
        <f>+Historicals!B184</f>
        <v>0.15780403741999016</v>
      </c>
      <c r="C56" s="52">
        <f>+Historicals!C184</f>
        <v>7.2294280246651077E-2</v>
      </c>
      <c r="D56" s="52">
        <f>+Historicals!D184</f>
        <v>2.9545905215149711E-2</v>
      </c>
      <c r="E56" s="52">
        <f>+Historicals!E184</f>
        <v>0.13154853620955315</v>
      </c>
      <c r="F56" s="52">
        <f>+Historicals!F184</f>
        <v>7.114893617021277E-2</v>
      </c>
      <c r="G56" s="52">
        <f>+Historicals!G184</f>
        <v>-6.3721595423486418E-2</v>
      </c>
      <c r="H56" s="52">
        <f>+Historicals!H184</f>
        <v>0.18295994568906992</v>
      </c>
      <c r="I56" s="52">
        <f>+Historicals!I184</f>
        <v>0.09</v>
      </c>
      <c r="J56" s="53">
        <v>0</v>
      </c>
      <c r="K56" s="53">
        <v>0</v>
      </c>
      <c r="L56" s="53">
        <v>0</v>
      </c>
      <c r="M56" s="53">
        <v>0</v>
      </c>
      <c r="N56" s="53">
        <v>0</v>
      </c>
    </row>
    <row r="57" spans="1:14" x14ac:dyDescent="0.3">
      <c r="A57" s="48" t="s">
        <v>150</v>
      </c>
      <c r="B57" s="55" t="s">
        <v>140</v>
      </c>
      <c r="C57" s="53">
        <f t="shared" ref="C57:I57" si="42">C55-C56</f>
        <v>-4.8740938496651537E-3</v>
      </c>
      <c r="D57" s="53">
        <f t="shared" si="42"/>
        <v>-8.4790829681381102E-4</v>
      </c>
      <c r="E57" s="53">
        <f t="shared" si="42"/>
        <v>-1.5293217060616981E-2</v>
      </c>
      <c r="F57" s="53">
        <f t="shared" si="42"/>
        <v>-4.7259264769027448E-3</v>
      </c>
      <c r="G57" s="53">
        <f t="shared" si="42"/>
        <v>-4.3367888263438625E-3</v>
      </c>
      <c r="H57" s="53">
        <f t="shared" si="42"/>
        <v>-2.8297104943015405E-2</v>
      </c>
      <c r="I57" s="53">
        <f t="shared" si="42"/>
        <v>-3.342176502436383E-2</v>
      </c>
      <c r="J57" s="53">
        <v>0</v>
      </c>
      <c r="K57" s="53">
        <v>0</v>
      </c>
      <c r="L57" s="53">
        <v>0</v>
      </c>
      <c r="M57" s="53">
        <v>0</v>
      </c>
      <c r="N57" s="53">
        <v>0</v>
      </c>
    </row>
    <row r="58" spans="1:14" x14ac:dyDescent="0.3">
      <c r="A58" s="49" t="s">
        <v>107</v>
      </c>
      <c r="B58" s="10">
        <f>+Historicals!B113</f>
        <v>2051</v>
      </c>
      <c r="C58" s="10">
        <f>+Historicals!C113</f>
        <v>2149</v>
      </c>
      <c r="D58" s="10">
        <f>+Historicals!D113</f>
        <v>2395</v>
      </c>
      <c r="E58" s="10">
        <f>+Historicals!E113</f>
        <v>2940</v>
      </c>
      <c r="F58" s="10">
        <f>+Historicals!F113</f>
        <v>3087</v>
      </c>
      <c r="G58" s="10">
        <f>+Historicals!G113</f>
        <v>3053</v>
      </c>
      <c r="H58" s="54">
        <f>+Historicals!H113</f>
        <v>3996</v>
      </c>
      <c r="I58" s="54">
        <f>+Historicals!I113</f>
        <v>4527</v>
      </c>
      <c r="J58" s="10">
        <f>I58*(1+J59)</f>
        <v>4527</v>
      </c>
      <c r="K58" s="10">
        <f>J58*(1+K59)</f>
        <v>4527</v>
      </c>
      <c r="L58" s="10">
        <f>K58*(1+L59)</f>
        <v>4527</v>
      </c>
      <c r="M58" s="10">
        <f>L58*(1+M59)</f>
        <v>4527</v>
      </c>
      <c r="N58" s="10">
        <f>M58*(1+N59)</f>
        <v>4527</v>
      </c>
    </row>
    <row r="59" spans="1:14" x14ac:dyDescent="0.3">
      <c r="A59" s="48" t="s">
        <v>134</v>
      </c>
      <c r="B59" s="55" t="s">
        <v>140</v>
      </c>
      <c r="C59" s="53">
        <f t="shared" ref="C59:I59" si="43">(C58-B58)/C58</f>
        <v>4.5602605863192182E-2</v>
      </c>
      <c r="D59" s="53">
        <f t="shared" si="43"/>
        <v>0.10271398747390396</v>
      </c>
      <c r="E59" s="53">
        <f t="shared" si="43"/>
        <v>0.18537414965986396</v>
      </c>
      <c r="F59" s="53">
        <f t="shared" si="43"/>
        <v>4.7619047619047616E-2</v>
      </c>
      <c r="G59" s="53">
        <f t="shared" si="43"/>
        <v>-1.1136586963642319E-2</v>
      </c>
      <c r="H59" s="53">
        <f t="shared" si="43"/>
        <v>0.235985985985986</v>
      </c>
      <c r="I59" s="53">
        <f t="shared" si="43"/>
        <v>0.1172962226640159</v>
      </c>
      <c r="J59" s="53">
        <v>0</v>
      </c>
      <c r="K59" s="53">
        <v>0</v>
      </c>
      <c r="L59" s="53">
        <v>0</v>
      </c>
      <c r="M59" s="53">
        <v>0</v>
      </c>
      <c r="N59" s="53">
        <v>0</v>
      </c>
    </row>
    <row r="60" spans="1:14" x14ac:dyDescent="0.3">
      <c r="A60" s="48" t="s">
        <v>149</v>
      </c>
      <c r="B60" s="52">
        <f>+Historicals!B185</f>
        <v>4.6962736089841757E-2</v>
      </c>
      <c r="C60" s="52">
        <f>+Historicals!C185</f>
        <v>4.778156996587031E-2</v>
      </c>
      <c r="D60" s="52">
        <f>+Historicals!D185</f>
        <v>0.11447184737087017</v>
      </c>
      <c r="E60" s="52">
        <f>+Historicals!E185</f>
        <v>0.22755741127348644</v>
      </c>
      <c r="F60" s="52">
        <f>+Historicals!F185</f>
        <v>0.05</v>
      </c>
      <c r="G60" s="52">
        <f>+Historicals!G185</f>
        <v>-1.101392938127632E-2</v>
      </c>
      <c r="H60" s="52">
        <f>+Historicals!H185</f>
        <v>0.30887651490337376</v>
      </c>
      <c r="I60" s="52">
        <f>+Historicals!I185</f>
        <v>0.16</v>
      </c>
      <c r="J60" s="53">
        <v>0</v>
      </c>
      <c r="K60" s="53">
        <v>0</v>
      </c>
      <c r="L60" s="53">
        <v>0</v>
      </c>
      <c r="M60" s="53">
        <v>0</v>
      </c>
      <c r="N60" s="53">
        <v>0</v>
      </c>
    </row>
    <row r="61" spans="1:14" x14ac:dyDescent="0.3">
      <c r="A61" s="48" t="s">
        <v>150</v>
      </c>
      <c r="B61" s="55" t="s">
        <v>140</v>
      </c>
      <c r="C61" s="53">
        <f t="shared" ref="C61:I61" si="44">C59-C50</f>
        <v>-4.6547769598909924E-3</v>
      </c>
      <c r="D61" s="53">
        <f t="shared" si="44"/>
        <v>4.8889066338257278E-2</v>
      </c>
      <c r="E61" s="53">
        <f t="shared" si="44"/>
        <v>0.12828899314690537</v>
      </c>
      <c r="F61" s="53">
        <f t="shared" si="44"/>
        <v>-3.5694821256385886E-3</v>
      </c>
      <c r="G61" s="53">
        <f t="shared" si="44"/>
        <v>-5.5668484229590948E-2</v>
      </c>
      <c r="H61" s="53">
        <f t="shared" si="44"/>
        <v>0.20007004210101015</v>
      </c>
      <c r="I61" s="53">
        <f t="shared" si="44"/>
        <v>8.247902656528544E-2</v>
      </c>
      <c r="J61" s="53">
        <v>0</v>
      </c>
      <c r="K61" s="53">
        <v>0</v>
      </c>
      <c r="L61" s="53">
        <v>0</v>
      </c>
      <c r="M61" s="53">
        <v>0</v>
      </c>
      <c r="N61" s="53">
        <v>0</v>
      </c>
    </row>
    <row r="62" spans="1:14" x14ac:dyDescent="0.3">
      <c r="A62" s="49" t="s">
        <v>108</v>
      </c>
      <c r="B62" s="10">
        <f>+Historicals!B114</f>
        <v>372</v>
      </c>
      <c r="C62" s="10">
        <f>+Historicals!C114</f>
        <v>376</v>
      </c>
      <c r="D62" s="10">
        <f>+Historicals!D114</f>
        <v>383</v>
      </c>
      <c r="E62" s="10">
        <f>+Historicals!E114</f>
        <v>427</v>
      </c>
      <c r="F62" s="10">
        <f>+Historicals!F114</f>
        <v>432</v>
      </c>
      <c r="G62" s="10">
        <f>+Historicals!G114</f>
        <v>402</v>
      </c>
      <c r="H62" s="10">
        <f>+Historicals!H114</f>
        <v>490</v>
      </c>
      <c r="I62" s="10">
        <f>+Historicals!I114</f>
        <v>564</v>
      </c>
      <c r="J62" s="10">
        <f>I62*(1+J63)</f>
        <v>564</v>
      </c>
      <c r="K62" s="10">
        <f>J62*(1+K63)</f>
        <v>564</v>
      </c>
      <c r="L62" s="10">
        <f>K62*(1+L63)</f>
        <v>564</v>
      </c>
      <c r="M62" s="10">
        <f>L62*(1+M63)</f>
        <v>564</v>
      </c>
      <c r="N62" s="10">
        <f>M62*(1+N63)</f>
        <v>564</v>
      </c>
    </row>
    <row r="63" spans="1:14" x14ac:dyDescent="0.3">
      <c r="A63" s="48" t="s">
        <v>134</v>
      </c>
      <c r="B63" s="55" t="s">
        <v>140</v>
      </c>
      <c r="C63" s="53">
        <f t="shared" ref="C63:I63" si="45">(C62-B62)/C62</f>
        <v>1.0638297872340425E-2</v>
      </c>
      <c r="D63" s="53">
        <f t="shared" si="45"/>
        <v>1.8276762402088774E-2</v>
      </c>
      <c r="E63" s="53">
        <f t="shared" si="45"/>
        <v>0.10304449648711944</v>
      </c>
      <c r="F63" s="53">
        <f t="shared" si="45"/>
        <v>1.1574074074074073E-2</v>
      </c>
      <c r="G63" s="53">
        <f t="shared" si="45"/>
        <v>-7.4626865671641784E-2</v>
      </c>
      <c r="H63" s="53">
        <f t="shared" si="45"/>
        <v>0.17959183673469387</v>
      </c>
      <c r="I63" s="53">
        <f t="shared" si="45"/>
        <v>0.13120567375886524</v>
      </c>
      <c r="J63" s="53">
        <v>0</v>
      </c>
      <c r="K63" s="53">
        <v>0</v>
      </c>
      <c r="L63" s="53">
        <v>0</v>
      </c>
      <c r="M63" s="53">
        <v>0</v>
      </c>
      <c r="N63" s="53">
        <v>0</v>
      </c>
    </row>
    <row r="64" spans="1:14" x14ac:dyDescent="0.3">
      <c r="A64" s="48" t="s">
        <v>149</v>
      </c>
      <c r="B64" s="52">
        <f>+Historicals!B186</f>
        <v>7.8260869565217397E-2</v>
      </c>
      <c r="C64" s="52">
        <f>+Historicals!C186</f>
        <v>1.0752688172043012E-2</v>
      </c>
      <c r="D64" s="52">
        <f>+Historicals!D186</f>
        <v>1.8617021276595744E-2</v>
      </c>
      <c r="E64" s="52">
        <f>+Historicals!E186</f>
        <v>0.11488250652741515</v>
      </c>
      <c r="F64" s="52">
        <f>+Historicals!F186</f>
        <v>1.1709601873536301E-2</v>
      </c>
      <c r="G64" s="52">
        <f>+Historicals!G186</f>
        <v>-6.9444444444444448E-2</v>
      </c>
      <c r="H64" s="52">
        <f>+Historicals!H186</f>
        <v>0.21890547263681592</v>
      </c>
      <c r="I64" s="52">
        <f>+Historicals!I186</f>
        <v>0.17</v>
      </c>
      <c r="J64" s="53">
        <v>0</v>
      </c>
      <c r="K64" s="53">
        <v>0</v>
      </c>
      <c r="L64" s="53">
        <v>0</v>
      </c>
      <c r="M64" s="53">
        <v>0</v>
      </c>
      <c r="N64" s="53">
        <v>0</v>
      </c>
    </row>
    <row r="65" spans="1:14" x14ac:dyDescent="0.3">
      <c r="A65" s="48" t="s">
        <v>150</v>
      </c>
      <c r="B65" s="55" t="s">
        <v>140</v>
      </c>
      <c r="C65" s="53">
        <f t="shared" ref="C65:I65" si="46">C63-C64</f>
        <v>-1.1439029970258634E-4</v>
      </c>
      <c r="D65" s="53">
        <f t="shared" si="46"/>
        <v>-3.4025887450696984E-4</v>
      </c>
      <c r="E65" s="53">
        <f t="shared" si="46"/>
        <v>-1.1838010040295707E-2</v>
      </c>
      <c r="F65" s="53">
        <f t="shared" si="46"/>
        <v>-1.3552779946222719E-4</v>
      </c>
      <c r="G65" s="53">
        <f t="shared" si="46"/>
        <v>-5.1824212271973369E-3</v>
      </c>
      <c r="H65" s="53">
        <f t="shared" si="46"/>
        <v>-3.9313635902122057E-2</v>
      </c>
      <c r="I65" s="53">
        <f t="shared" si="46"/>
        <v>-3.8794326241134769E-2</v>
      </c>
      <c r="J65" s="53">
        <v>0</v>
      </c>
      <c r="K65" s="53">
        <v>0</v>
      </c>
      <c r="L65" s="53">
        <v>0</v>
      </c>
      <c r="M65" s="53">
        <v>0</v>
      </c>
      <c r="N65" s="53">
        <v>0</v>
      </c>
    </row>
    <row r="66" spans="1:14" x14ac:dyDescent="0.3">
      <c r="A66" s="11" t="s">
        <v>135</v>
      </c>
      <c r="B66" s="10">
        <f t="shared" ref="B66:I66" si="47">B69+B73</f>
        <v>1611</v>
      </c>
      <c r="C66" s="10">
        <f t="shared" si="47"/>
        <v>1872</v>
      </c>
      <c r="D66" s="10">
        <f t="shared" si="47"/>
        <v>1613</v>
      </c>
      <c r="E66" s="10">
        <f t="shared" si="47"/>
        <v>1703</v>
      </c>
      <c r="F66" s="10">
        <f t="shared" si="47"/>
        <v>2106</v>
      </c>
      <c r="G66" s="10">
        <f t="shared" si="47"/>
        <v>1673</v>
      </c>
      <c r="H66" s="10">
        <f t="shared" si="47"/>
        <v>2571</v>
      </c>
      <c r="I66" s="10">
        <f t="shared" si="47"/>
        <v>3427</v>
      </c>
      <c r="J66" s="10">
        <f>I66*(1+J67)</f>
        <v>3427</v>
      </c>
      <c r="K66" s="10">
        <f>J66*(1+K67)</f>
        <v>3427</v>
      </c>
      <c r="L66" s="10">
        <f>K66*(1+L67)</f>
        <v>3427</v>
      </c>
      <c r="M66" s="10">
        <f>L66*(1+M67)</f>
        <v>3427</v>
      </c>
      <c r="N66" s="10">
        <f>M66*(1+N67)</f>
        <v>3427</v>
      </c>
    </row>
    <row r="67" spans="1:14" x14ac:dyDescent="0.3">
      <c r="A67" s="43" t="s">
        <v>134</v>
      </c>
      <c r="B67" s="45" t="s">
        <v>140</v>
      </c>
      <c r="C67" s="53">
        <f t="shared" ref="C67:I67" si="48">(C66-B66)/C66</f>
        <v>0.13942307692307693</v>
      </c>
      <c r="D67" s="53">
        <f t="shared" si="48"/>
        <v>-0.16057036577805331</v>
      </c>
      <c r="E67" s="53">
        <f t="shared" si="48"/>
        <v>5.2847915443335287E-2</v>
      </c>
      <c r="F67" s="53">
        <f t="shared" si="48"/>
        <v>0.19135802469135801</v>
      </c>
      <c r="G67" s="53">
        <f t="shared" si="48"/>
        <v>-0.25881649731022116</v>
      </c>
      <c r="H67" s="53">
        <f t="shared" si="48"/>
        <v>0.34928043562816025</v>
      </c>
      <c r="I67" s="53">
        <f t="shared" si="48"/>
        <v>0.24978114969360957</v>
      </c>
      <c r="J67" s="53">
        <v>0</v>
      </c>
      <c r="K67" s="53">
        <v>0</v>
      </c>
      <c r="L67" s="53">
        <v>0</v>
      </c>
      <c r="M67" s="53">
        <v>0</v>
      </c>
      <c r="N67" s="53">
        <v>0</v>
      </c>
    </row>
    <row r="68" spans="1:14" x14ac:dyDescent="0.3">
      <c r="A68" s="43" t="s">
        <v>137</v>
      </c>
      <c r="B68" s="53">
        <f t="shared" ref="B68:N68" si="49">B66/B52</f>
        <v>0.22607353353915241</v>
      </c>
      <c r="C68" s="53">
        <f t="shared" si="49"/>
        <v>0.24735729386892177</v>
      </c>
      <c r="D68" s="53">
        <f t="shared" si="49"/>
        <v>0.20238393977415309</v>
      </c>
      <c r="E68" s="53">
        <f t="shared" si="49"/>
        <v>0.18426747457260334</v>
      </c>
      <c r="F68" s="53">
        <f t="shared" si="49"/>
        <v>0.21463514064410924</v>
      </c>
      <c r="G68" s="53">
        <f t="shared" si="49"/>
        <v>0.17898791055953783</v>
      </c>
      <c r="H68" s="53">
        <f t="shared" si="49"/>
        <v>0.22442388268156424</v>
      </c>
      <c r="I68" s="53">
        <f t="shared" si="49"/>
        <v>0.27462136389133746</v>
      </c>
      <c r="J68" s="53">
        <f t="shared" si="49"/>
        <v>0.27462136389133746</v>
      </c>
      <c r="K68" s="53">
        <f t="shared" si="49"/>
        <v>0.27462136389133746</v>
      </c>
      <c r="L68" s="53">
        <f t="shared" si="49"/>
        <v>0.27462136389133746</v>
      </c>
      <c r="M68" s="53">
        <f t="shared" si="49"/>
        <v>0.27462136389133746</v>
      </c>
      <c r="N68" s="53">
        <f t="shared" si="49"/>
        <v>0.27462136389133746</v>
      </c>
    </row>
    <row r="69" spans="1:14" x14ac:dyDescent="0.3">
      <c r="A69" s="11" t="s">
        <v>138</v>
      </c>
      <c r="B69" s="51">
        <f>+Historicals!B168</f>
        <v>87</v>
      </c>
      <c r="C69" s="51">
        <f>+Historicals!C168</f>
        <v>85</v>
      </c>
      <c r="D69" s="51">
        <f>+Historicals!D168</f>
        <v>106</v>
      </c>
      <c r="E69" s="51">
        <f>+Historicals!E168</f>
        <v>116</v>
      </c>
      <c r="F69" s="51">
        <f>+Historicals!F168</f>
        <v>111</v>
      </c>
      <c r="G69" s="51">
        <f>+Historicals!G168</f>
        <v>132</v>
      </c>
      <c r="H69" s="51">
        <f>+Historicals!H168</f>
        <v>136</v>
      </c>
      <c r="I69" s="51">
        <f>+Historicals!I168</f>
        <v>134</v>
      </c>
      <c r="J69" s="10">
        <f>I69*(1+J70)</f>
        <v>134</v>
      </c>
      <c r="K69" s="10">
        <f>J69*(1+K70)</f>
        <v>134</v>
      </c>
      <c r="L69" s="10">
        <f>K69*(1+L70)</f>
        <v>134</v>
      </c>
      <c r="M69" s="10">
        <f>L69*(1+M70)</f>
        <v>134</v>
      </c>
      <c r="N69" s="10">
        <f>M69*(1+N70)</f>
        <v>134</v>
      </c>
    </row>
    <row r="70" spans="1:14" x14ac:dyDescent="0.3">
      <c r="A70" s="43" t="s">
        <v>134</v>
      </c>
      <c r="B70" s="45" t="s">
        <v>140</v>
      </c>
      <c r="C70" s="53">
        <f t="shared" ref="C70:I70" si="50">(C69-B69)/C69</f>
        <v>-2.3529411764705882E-2</v>
      </c>
      <c r="D70" s="53">
        <f t="shared" si="50"/>
        <v>0.19811320754716982</v>
      </c>
      <c r="E70" s="53">
        <f t="shared" si="50"/>
        <v>8.6206896551724144E-2</v>
      </c>
      <c r="F70" s="53">
        <f t="shared" si="50"/>
        <v>-4.5045045045045043E-2</v>
      </c>
      <c r="G70" s="53">
        <f t="shared" si="50"/>
        <v>0.15909090909090909</v>
      </c>
      <c r="H70" s="53">
        <f t="shared" si="50"/>
        <v>2.9411764705882353E-2</v>
      </c>
      <c r="I70" s="53">
        <f t="shared" si="50"/>
        <v>-1.4925373134328358E-2</v>
      </c>
      <c r="J70" s="53">
        <v>0</v>
      </c>
      <c r="K70" s="53">
        <v>0</v>
      </c>
      <c r="L70" s="53">
        <v>0</v>
      </c>
      <c r="M70" s="53">
        <v>0</v>
      </c>
      <c r="N70" s="53">
        <v>0</v>
      </c>
    </row>
    <row r="71" spans="1:14" x14ac:dyDescent="0.3">
      <c r="A71" s="43" t="s">
        <v>141</v>
      </c>
      <c r="B71" s="53">
        <f t="shared" ref="B71:N71" si="51">B69/B52</f>
        <v>1.2208812798203761E-2</v>
      </c>
      <c r="C71" s="53">
        <f t="shared" si="51"/>
        <v>1.1231501057082453E-2</v>
      </c>
      <c r="D71" s="53">
        <f t="shared" si="51"/>
        <v>1.3299874529485571E-2</v>
      </c>
      <c r="E71" s="53">
        <f t="shared" si="51"/>
        <v>1.2551395801774508E-2</v>
      </c>
      <c r="F71" s="53">
        <f t="shared" si="51"/>
        <v>1.1312678353037097E-2</v>
      </c>
      <c r="G71" s="53">
        <f t="shared" si="51"/>
        <v>1.4122178239007167E-2</v>
      </c>
      <c r="H71" s="53">
        <f t="shared" si="51"/>
        <v>1.1871508379888268E-2</v>
      </c>
      <c r="I71" s="53">
        <f t="shared" si="51"/>
        <v>1.0738039907043834E-2</v>
      </c>
      <c r="J71" s="53">
        <f t="shared" si="51"/>
        <v>1.0738039907043834E-2</v>
      </c>
      <c r="K71" s="53">
        <f t="shared" si="51"/>
        <v>1.0738039907043834E-2</v>
      </c>
      <c r="L71" s="53">
        <f t="shared" si="51"/>
        <v>1.0738039907043834E-2</v>
      </c>
      <c r="M71" s="53">
        <f t="shared" si="51"/>
        <v>1.0738039907043834E-2</v>
      </c>
      <c r="N71" s="53">
        <f t="shared" si="51"/>
        <v>1.0738039907043834E-2</v>
      </c>
    </row>
    <row r="72" spans="1:14" x14ac:dyDescent="0.3">
      <c r="A72" s="43" t="s">
        <v>151</v>
      </c>
      <c r="B72" s="53">
        <f t="shared" ref="B72:N72" si="52">B69/B79</f>
        <v>0.1746987951807229</v>
      </c>
      <c r="C72" s="53">
        <f t="shared" si="52"/>
        <v>0.13302034428794993</v>
      </c>
      <c r="D72" s="53">
        <f t="shared" si="52"/>
        <v>0.14950634696755993</v>
      </c>
      <c r="E72" s="53">
        <f t="shared" si="52"/>
        <v>0.13663133097762073</v>
      </c>
      <c r="F72" s="53">
        <f t="shared" si="52"/>
        <v>0.11948331539289558</v>
      </c>
      <c r="G72" s="53">
        <f t="shared" si="52"/>
        <v>0.14915254237288136</v>
      </c>
      <c r="H72" s="53">
        <f t="shared" si="52"/>
        <v>0.1384928716904277</v>
      </c>
      <c r="I72" s="53">
        <f t="shared" si="52"/>
        <v>0.14565217391304347</v>
      </c>
      <c r="J72" s="53">
        <f t="shared" si="52"/>
        <v>0.14565217391304347</v>
      </c>
      <c r="K72" s="53">
        <f t="shared" si="52"/>
        <v>0.14565217391304347</v>
      </c>
      <c r="L72" s="53">
        <f t="shared" si="52"/>
        <v>0.14565217391304347</v>
      </c>
      <c r="M72" s="53">
        <f t="shared" si="52"/>
        <v>0.14565217391304347</v>
      </c>
      <c r="N72" s="53">
        <f t="shared" si="52"/>
        <v>0.14565217391304347</v>
      </c>
    </row>
    <row r="73" spans="1:14" x14ac:dyDescent="0.3">
      <c r="A73" s="11" t="s">
        <v>142</v>
      </c>
      <c r="B73" s="51">
        <f>+Historicals!B135</f>
        <v>1524</v>
      </c>
      <c r="C73" s="51">
        <f>+Historicals!C135</f>
        <v>1787</v>
      </c>
      <c r="D73" s="51">
        <f>+Historicals!D135</f>
        <v>1507</v>
      </c>
      <c r="E73" s="51">
        <f>+Historicals!E135</f>
        <v>1587</v>
      </c>
      <c r="F73" s="51">
        <f>+Historicals!F135</f>
        <v>1995</v>
      </c>
      <c r="G73" s="51">
        <f>+Historicals!G135</f>
        <v>1541</v>
      </c>
      <c r="H73" s="51">
        <f>+Historicals!H135</f>
        <v>2435</v>
      </c>
      <c r="I73" s="51">
        <f>+Historicals!I135</f>
        <v>3293</v>
      </c>
      <c r="J73" s="10">
        <f>I73*(1+J74)</f>
        <v>3293</v>
      </c>
      <c r="K73" s="10">
        <f>J73*(1+K74)</f>
        <v>3293</v>
      </c>
      <c r="L73" s="10">
        <f>K73*(1+L74)</f>
        <v>3293</v>
      </c>
      <c r="M73" s="10">
        <f>L73*(1+M74)</f>
        <v>3293</v>
      </c>
      <c r="N73" s="10">
        <f>M73*(1+N74)</f>
        <v>3293</v>
      </c>
    </row>
    <row r="74" spans="1:14" x14ac:dyDescent="0.3">
      <c r="A74" s="43" t="s">
        <v>134</v>
      </c>
      <c r="B74" s="45" t="s">
        <v>140</v>
      </c>
      <c r="C74" s="53">
        <f t="shared" ref="C74:I74" si="53">(C73-B73)/C73</f>
        <v>0.14717403469501958</v>
      </c>
      <c r="D74" s="53">
        <f t="shared" si="53"/>
        <v>-0.18579960185799602</v>
      </c>
      <c r="E74" s="53">
        <f t="shared" si="53"/>
        <v>5.0409577819785757E-2</v>
      </c>
      <c r="F74" s="53">
        <f t="shared" si="53"/>
        <v>0.20451127819548873</v>
      </c>
      <c r="G74" s="53">
        <f t="shared" si="53"/>
        <v>-0.29461388708630759</v>
      </c>
      <c r="H74" s="53">
        <f t="shared" si="53"/>
        <v>0.36714579055441476</v>
      </c>
      <c r="I74" s="53">
        <f t="shared" si="53"/>
        <v>0.26055268751897964</v>
      </c>
      <c r="J74" s="53">
        <v>0</v>
      </c>
      <c r="K74" s="53">
        <v>0</v>
      </c>
      <c r="L74" s="53">
        <v>0</v>
      </c>
      <c r="M74" s="53">
        <v>0</v>
      </c>
      <c r="N74" s="53">
        <v>0</v>
      </c>
    </row>
    <row r="75" spans="1:14" x14ac:dyDescent="0.3">
      <c r="A75" s="43" t="s">
        <v>137</v>
      </c>
      <c r="B75" s="53">
        <f t="shared" ref="B75:N75" si="54">B73/B52</f>
        <v>0.21386472074094864</v>
      </c>
      <c r="C75" s="53">
        <f t="shared" si="54"/>
        <v>0.23612579281183932</v>
      </c>
      <c r="D75" s="53">
        <f t="shared" si="54"/>
        <v>0.1890840652446675</v>
      </c>
      <c r="E75" s="53">
        <f t="shared" si="54"/>
        <v>0.17171607877082881</v>
      </c>
      <c r="F75" s="53">
        <f t="shared" si="54"/>
        <v>0.20332246229107215</v>
      </c>
      <c r="G75" s="53">
        <f t="shared" si="54"/>
        <v>0.16486573232053064</v>
      </c>
      <c r="H75" s="53">
        <f t="shared" si="54"/>
        <v>0.21255237430167598</v>
      </c>
      <c r="I75" s="53">
        <f t="shared" si="54"/>
        <v>0.26388332398429359</v>
      </c>
      <c r="J75" s="53">
        <f t="shared" si="54"/>
        <v>0.26388332398429359</v>
      </c>
      <c r="K75" s="53">
        <f t="shared" si="54"/>
        <v>0.26388332398429359</v>
      </c>
      <c r="L75" s="53">
        <f t="shared" si="54"/>
        <v>0.26388332398429359</v>
      </c>
      <c r="M75" s="53">
        <f t="shared" si="54"/>
        <v>0.26388332398429359</v>
      </c>
      <c r="N75" s="53">
        <f t="shared" si="54"/>
        <v>0.26388332398429359</v>
      </c>
    </row>
    <row r="76" spans="1:14" x14ac:dyDescent="0.3">
      <c r="A76" s="11" t="s">
        <v>144</v>
      </c>
      <c r="B76" s="51">
        <v>236</v>
      </c>
      <c r="C76" s="51">
        <v>234</v>
      </c>
      <c r="D76" s="51">
        <v>173</v>
      </c>
      <c r="E76" s="51">
        <v>240</v>
      </c>
      <c r="F76" s="51">
        <v>233</v>
      </c>
      <c r="G76" s="51">
        <v>139</v>
      </c>
      <c r="H76" s="51">
        <v>153</v>
      </c>
      <c r="I76" s="51">
        <v>197</v>
      </c>
      <c r="J76" s="10">
        <f>I76*(1+J77)</f>
        <v>197</v>
      </c>
      <c r="K76" s="10">
        <f>J76*(1+K77)</f>
        <v>197</v>
      </c>
      <c r="L76" s="10">
        <f>K76*(1+L77)</f>
        <v>197</v>
      </c>
      <c r="M76" s="10">
        <f>L76*(1+M77)</f>
        <v>197</v>
      </c>
      <c r="N76" s="10">
        <f>M76*(1+N77)</f>
        <v>197</v>
      </c>
    </row>
    <row r="77" spans="1:14" x14ac:dyDescent="0.3">
      <c r="A77" s="43" t="s">
        <v>134</v>
      </c>
      <c r="B77" s="45" t="s">
        <v>140</v>
      </c>
      <c r="C77" s="53">
        <f t="shared" ref="C77:I77" si="55">(C76-B76)/C76</f>
        <v>-8.5470085470085479E-3</v>
      </c>
      <c r="D77" s="53">
        <f t="shared" si="55"/>
        <v>-0.35260115606936415</v>
      </c>
      <c r="E77" s="53">
        <f t="shared" si="55"/>
        <v>0.27916666666666667</v>
      </c>
      <c r="F77" s="53">
        <f t="shared" si="55"/>
        <v>-3.0042918454935622E-2</v>
      </c>
      <c r="G77" s="53">
        <f t="shared" si="55"/>
        <v>-0.67625899280575541</v>
      </c>
      <c r="H77" s="53">
        <f t="shared" si="55"/>
        <v>9.1503267973856203E-2</v>
      </c>
      <c r="I77" s="53">
        <f t="shared" si="55"/>
        <v>0.2233502538071066</v>
      </c>
      <c r="J77" s="53">
        <v>0</v>
      </c>
      <c r="K77" s="53">
        <v>0</v>
      </c>
      <c r="L77" s="53">
        <v>0</v>
      </c>
      <c r="M77" s="53">
        <v>0</v>
      </c>
      <c r="N77" s="53">
        <v>0</v>
      </c>
    </row>
    <row r="78" spans="1:14" x14ac:dyDescent="0.3">
      <c r="A78" s="43" t="s">
        <v>141</v>
      </c>
      <c r="B78" s="53">
        <f t="shared" ref="B78:N78" si="56">B76/B52</f>
        <v>3.3118158854897557E-2</v>
      </c>
      <c r="C78" s="53">
        <f t="shared" si="56"/>
        <v>3.0919661733615222E-2</v>
      </c>
      <c r="D78" s="53">
        <f t="shared" si="56"/>
        <v>2.1706398996235884E-2</v>
      </c>
      <c r="E78" s="53">
        <f t="shared" si="56"/>
        <v>2.5968405107119671E-2</v>
      </c>
      <c r="F78" s="53">
        <f t="shared" si="56"/>
        <v>2.3746432939258051E-2</v>
      </c>
      <c r="G78" s="53">
        <f t="shared" si="56"/>
        <v>1.4871081630469669E-2</v>
      </c>
      <c r="H78" s="53">
        <f t="shared" si="56"/>
        <v>1.3355446927374302E-2</v>
      </c>
      <c r="I78" s="53">
        <f t="shared" si="56"/>
        <v>1.5786521355877874E-2</v>
      </c>
      <c r="J78" s="53">
        <f t="shared" si="56"/>
        <v>1.5786521355877874E-2</v>
      </c>
      <c r="K78" s="53">
        <f t="shared" si="56"/>
        <v>1.5786521355877874E-2</v>
      </c>
      <c r="L78" s="53">
        <f t="shared" si="56"/>
        <v>1.5786521355877874E-2</v>
      </c>
      <c r="M78" s="53">
        <f t="shared" si="56"/>
        <v>1.5786521355877874E-2</v>
      </c>
      <c r="N78" s="53">
        <f t="shared" si="56"/>
        <v>1.5786521355877874E-2</v>
      </c>
    </row>
    <row r="79" spans="1:14" x14ac:dyDescent="0.3">
      <c r="A79" s="11" t="s">
        <v>146</v>
      </c>
      <c r="B79" s="51">
        <f>+Historicals!B146</f>
        <v>498</v>
      </c>
      <c r="C79" s="51">
        <f>+Historicals!C146</f>
        <v>639</v>
      </c>
      <c r="D79" s="51">
        <f>+Historicals!D146</f>
        <v>709</v>
      </c>
      <c r="E79" s="51">
        <f>+Historicals!E146</f>
        <v>849</v>
      </c>
      <c r="F79" s="51">
        <f>+Historicals!F146</f>
        <v>929</v>
      </c>
      <c r="G79" s="51">
        <f>+Historicals!G146</f>
        <v>885</v>
      </c>
      <c r="H79" s="51">
        <f>+Historicals!H146</f>
        <v>982</v>
      </c>
      <c r="I79" s="51">
        <f>+Historicals!I146</f>
        <v>920</v>
      </c>
      <c r="J79" s="10">
        <f>I79*(1+J80)</f>
        <v>920</v>
      </c>
      <c r="K79" s="10">
        <f>J79*(1+K80)</f>
        <v>920</v>
      </c>
      <c r="L79" s="10">
        <f>K79*(1+L80)</f>
        <v>920</v>
      </c>
      <c r="M79" s="10">
        <f>L79*(1+M80)</f>
        <v>920</v>
      </c>
      <c r="N79" s="10">
        <f>M79*(1+N80)</f>
        <v>920</v>
      </c>
    </row>
    <row r="80" spans="1:14" x14ac:dyDescent="0.3">
      <c r="A80" s="43" t="s">
        <v>134</v>
      </c>
      <c r="B80" s="45" t="s">
        <v>140</v>
      </c>
      <c r="C80" s="53">
        <f t="shared" ref="C80:I80" si="57">(C79-B79)/C79</f>
        <v>0.22065727699530516</v>
      </c>
      <c r="D80" s="53">
        <f t="shared" si="57"/>
        <v>9.8730606488011283E-2</v>
      </c>
      <c r="E80" s="53">
        <f t="shared" si="57"/>
        <v>0.16489988221436985</v>
      </c>
      <c r="F80" s="53">
        <f t="shared" si="57"/>
        <v>8.6114101184068897E-2</v>
      </c>
      <c r="G80" s="53">
        <f t="shared" si="57"/>
        <v>-4.9717514124293788E-2</v>
      </c>
      <c r="H80" s="53">
        <f t="shared" si="57"/>
        <v>9.8778004073319756E-2</v>
      </c>
      <c r="I80" s="53">
        <f t="shared" si="57"/>
        <v>-6.7391304347826086E-2</v>
      </c>
      <c r="J80" s="53">
        <v>0</v>
      </c>
      <c r="K80" s="53">
        <v>0</v>
      </c>
      <c r="L80" s="53">
        <v>0</v>
      </c>
      <c r="M80" s="53">
        <v>0</v>
      </c>
      <c r="N80" s="53">
        <v>0</v>
      </c>
    </row>
    <row r="81" spans="1:14" x14ac:dyDescent="0.3">
      <c r="A81" s="43" t="s">
        <v>141</v>
      </c>
      <c r="B81" s="53">
        <f t="shared" ref="B81:N81" si="58">B79/B52</f>
        <v>6.9884928431097393E-2</v>
      </c>
      <c r="C81" s="53">
        <f t="shared" si="58"/>
        <v>8.4434460887949259E-2</v>
      </c>
      <c r="D81" s="53">
        <f t="shared" si="58"/>
        <v>8.8958594730238399E-2</v>
      </c>
      <c r="E81" s="53">
        <f t="shared" si="58"/>
        <v>9.1863233066435832E-2</v>
      </c>
      <c r="F81" s="53">
        <f t="shared" si="58"/>
        <v>9.4679983693436609E-2</v>
      </c>
      <c r="G81" s="53">
        <f t="shared" si="58"/>
        <v>9.4682785920616241E-2</v>
      </c>
      <c r="H81" s="53">
        <f t="shared" si="58"/>
        <v>8.5719273743016758E-2</v>
      </c>
      <c r="I81" s="53">
        <f t="shared" si="58"/>
        <v>7.37238560782114E-2</v>
      </c>
      <c r="J81" s="53">
        <f t="shared" si="58"/>
        <v>7.37238560782114E-2</v>
      </c>
      <c r="K81" s="53">
        <f t="shared" si="58"/>
        <v>7.37238560782114E-2</v>
      </c>
      <c r="L81" s="53">
        <f t="shared" si="58"/>
        <v>7.37238560782114E-2</v>
      </c>
      <c r="M81" s="53">
        <f t="shared" si="58"/>
        <v>7.37238560782114E-2</v>
      </c>
      <c r="N81" s="53">
        <f t="shared" si="58"/>
        <v>7.37238560782114E-2</v>
      </c>
    </row>
    <row r="82" spans="1:14" x14ac:dyDescent="0.3">
      <c r="A82" s="47" t="s">
        <v>111</v>
      </c>
      <c r="B82" s="47"/>
      <c r="C82" s="47"/>
      <c r="D82" s="47"/>
      <c r="E82" s="47"/>
      <c r="F82" s="47"/>
      <c r="G82" s="47"/>
      <c r="H82" s="47"/>
      <c r="I82" s="47"/>
      <c r="J82" s="41"/>
      <c r="K82" s="41"/>
      <c r="L82" s="41"/>
      <c r="M82" s="41"/>
      <c r="N82" s="41"/>
    </row>
    <row r="83" spans="1:14" x14ac:dyDescent="0.3">
      <c r="A83" s="11" t="s">
        <v>148</v>
      </c>
      <c r="B83" s="10">
        <f t="shared" ref="B83:N83" si="59">B85+B89+B93</f>
        <v>1675</v>
      </c>
      <c r="C83" s="10">
        <f t="shared" si="59"/>
        <v>1460</v>
      </c>
      <c r="D83" s="10">
        <f t="shared" si="59"/>
        <v>1525</v>
      </c>
      <c r="E83" s="10">
        <f t="shared" si="59"/>
        <v>1679</v>
      </c>
      <c r="F83" s="10">
        <f t="shared" si="59"/>
        <v>1674</v>
      </c>
      <c r="G83" s="10">
        <f t="shared" si="59"/>
        <v>1609</v>
      </c>
      <c r="H83" s="10">
        <f t="shared" si="59"/>
        <v>1709</v>
      </c>
      <c r="I83" s="10">
        <f t="shared" si="59"/>
        <v>1946</v>
      </c>
      <c r="J83" s="10">
        <f t="shared" si="59"/>
        <v>1946</v>
      </c>
      <c r="K83" s="10">
        <f t="shared" si="59"/>
        <v>1946</v>
      </c>
      <c r="L83" s="10">
        <f t="shared" si="59"/>
        <v>1946</v>
      </c>
      <c r="M83" s="10">
        <f t="shared" si="59"/>
        <v>1946</v>
      </c>
      <c r="N83" s="10">
        <f t="shared" si="59"/>
        <v>1946</v>
      </c>
    </row>
    <row r="84" spans="1:14" x14ac:dyDescent="0.3">
      <c r="A84" s="48" t="s">
        <v>134</v>
      </c>
      <c r="B84" s="45">
        <f>+Historicals!B191</f>
        <v>-1.4194915254237288E-2</v>
      </c>
      <c r="C84" s="45">
        <f>+Historicals!C191</f>
        <v>-7.2211476466795613E-2</v>
      </c>
      <c r="D84" s="45">
        <f>+Historicals!D191</f>
        <v>9.7289784572619872E-2</v>
      </c>
      <c r="E84" s="45">
        <f>+Historicals!E191</f>
        <v>9.0563647878404055E-2</v>
      </c>
      <c r="F84" s="45">
        <f>+Historicals!F191</f>
        <v>1.7034456058846303E-2</v>
      </c>
      <c r="G84" s="45">
        <f>+Historicals!G191</f>
        <v>-4.3014845831747243E-2</v>
      </c>
      <c r="H84" s="45">
        <f>+Historicals!H191</f>
        <v>6.2649164677804292E-2</v>
      </c>
      <c r="I84" s="45">
        <f>+Historicals!I191</f>
        <v>0.16</v>
      </c>
      <c r="J84" s="53">
        <v>0</v>
      </c>
      <c r="K84" s="53">
        <v>0</v>
      </c>
      <c r="L84" s="53">
        <v>0</v>
      </c>
      <c r="M84" s="53">
        <v>0</v>
      </c>
      <c r="N84" s="53">
        <v>0</v>
      </c>
    </row>
    <row r="85" spans="1:14" x14ac:dyDescent="0.3">
      <c r="A85" s="49" t="s">
        <v>106</v>
      </c>
      <c r="B85" s="10">
        <f>+Historicals!B121</f>
        <v>1251</v>
      </c>
      <c r="C85" s="10">
        <f>+Historicals!C121</f>
        <v>1117</v>
      </c>
      <c r="D85" s="10">
        <f>+Historicals!D121</f>
        <v>1185</v>
      </c>
      <c r="E85" s="10">
        <f>+Historicals!E121</f>
        <v>1347</v>
      </c>
      <c r="F85" s="10">
        <f>+Historicals!F121</f>
        <v>1395</v>
      </c>
      <c r="G85" s="10">
        <f>+Historicals!G121</f>
        <v>1365</v>
      </c>
      <c r="H85" s="54">
        <f>+Historicals!H121</f>
        <v>1494</v>
      </c>
      <c r="I85" s="54">
        <f>+Historicals!I121</f>
        <v>1610</v>
      </c>
      <c r="J85" s="10">
        <f>I85*(1+J86)</f>
        <v>1610</v>
      </c>
      <c r="K85" s="10">
        <f>J85*(1+K86)</f>
        <v>1610</v>
      </c>
      <c r="L85" s="10">
        <f>K85*(1+L86)</f>
        <v>1610</v>
      </c>
      <c r="M85" s="10">
        <f>L85*(1+M86)</f>
        <v>1610</v>
      </c>
      <c r="N85" s="10">
        <f>M85*(1+N86)</f>
        <v>1610</v>
      </c>
    </row>
    <row r="86" spans="1:14" x14ac:dyDescent="0.3">
      <c r="A86" s="48" t="s">
        <v>134</v>
      </c>
      <c r="B86" s="55" t="s">
        <v>140</v>
      </c>
      <c r="C86" s="53">
        <f t="shared" ref="C86:I86" si="60">(C85-B85)/C85</f>
        <v>-0.11996418979409132</v>
      </c>
      <c r="D86" s="53">
        <f t="shared" si="60"/>
        <v>5.7383966244725741E-2</v>
      </c>
      <c r="E86" s="53">
        <f t="shared" si="60"/>
        <v>0.12026726057906459</v>
      </c>
      <c r="F86" s="53">
        <f t="shared" si="60"/>
        <v>3.4408602150537634E-2</v>
      </c>
      <c r="G86" s="53">
        <f t="shared" si="60"/>
        <v>-2.197802197802198E-2</v>
      </c>
      <c r="H86" s="53">
        <f t="shared" si="60"/>
        <v>8.6345381526104423E-2</v>
      </c>
      <c r="I86" s="53">
        <f t="shared" si="60"/>
        <v>7.2049689440993783E-2</v>
      </c>
      <c r="J86" s="53">
        <v>0</v>
      </c>
      <c r="K86" s="53">
        <v>0</v>
      </c>
      <c r="L86" s="53">
        <v>0</v>
      </c>
      <c r="M86" s="53">
        <v>0</v>
      </c>
      <c r="N86" s="53">
        <v>0</v>
      </c>
    </row>
    <row r="87" spans="1:14" x14ac:dyDescent="0.3">
      <c r="A87" s="48" t="s">
        <v>149</v>
      </c>
      <c r="B87" s="52">
        <f>+Historicals!B193</f>
        <v>-6.4323111443530298E-2</v>
      </c>
      <c r="C87" s="52">
        <f>+Historicals!C193</f>
        <v>-0.10711430855315747</v>
      </c>
      <c r="D87" s="52">
        <f>+Historicals!D193</f>
        <v>6.087735004476276E-2</v>
      </c>
      <c r="E87" s="52">
        <f>+Historicals!E193</f>
        <v>0.13670886075949368</v>
      </c>
      <c r="F87" s="52">
        <f>+Historicals!F193</f>
        <v>3.5634743875278395E-2</v>
      </c>
      <c r="G87" s="52">
        <f>+Historicals!G193</f>
        <v>-2.1505376344086023E-2</v>
      </c>
      <c r="H87" s="52">
        <f>+Historicals!H193</f>
        <v>9.4505494505494503E-2</v>
      </c>
      <c r="I87" s="52">
        <f>+Historicals!I193</f>
        <v>0.12</v>
      </c>
      <c r="J87" s="53">
        <v>0</v>
      </c>
      <c r="K87" s="53">
        <v>0</v>
      </c>
      <c r="L87" s="53">
        <v>0</v>
      </c>
      <c r="M87" s="53">
        <v>0</v>
      </c>
      <c r="N87" s="53">
        <v>0</v>
      </c>
    </row>
    <row r="88" spans="1:14" x14ac:dyDescent="0.3">
      <c r="A88" s="48" t="s">
        <v>150</v>
      </c>
      <c r="B88" s="55" t="s">
        <v>140</v>
      </c>
      <c r="C88" s="53">
        <f t="shared" ref="C88:I88" si="61">C86-C87</f>
        <v>-1.284988124093385E-2</v>
      </c>
      <c r="D88" s="53">
        <f t="shared" si="61"/>
        <v>-3.4933838000370185E-3</v>
      </c>
      <c r="E88" s="53">
        <f t="shared" si="61"/>
        <v>-1.6441600180429089E-2</v>
      </c>
      <c r="F88" s="53">
        <f t="shared" si="61"/>
        <v>-1.2261417247407605E-3</v>
      </c>
      <c r="G88" s="53">
        <f t="shared" si="61"/>
        <v>-4.7264563393595652E-4</v>
      </c>
      <c r="H88" s="53">
        <f t="shared" si="61"/>
        <v>-8.1601129793900801E-3</v>
      </c>
      <c r="I88" s="53">
        <f t="shared" si="61"/>
        <v>-4.7950310559006212E-2</v>
      </c>
      <c r="J88" s="53">
        <v>0</v>
      </c>
      <c r="K88" s="53">
        <v>0</v>
      </c>
      <c r="L88" s="53">
        <v>0</v>
      </c>
      <c r="M88" s="53">
        <v>0</v>
      </c>
      <c r="N88" s="53">
        <v>0</v>
      </c>
    </row>
    <row r="89" spans="1:14" x14ac:dyDescent="0.3">
      <c r="A89" s="49" t="s">
        <v>107</v>
      </c>
      <c r="B89" s="10">
        <f>+Historicals!B122</f>
        <v>309</v>
      </c>
      <c r="C89" s="10">
        <f>+Historicals!C122</f>
        <v>270</v>
      </c>
      <c r="D89" s="10">
        <f>+Historicals!D122</f>
        <v>267</v>
      </c>
      <c r="E89" s="10">
        <f>+Historicals!E122</f>
        <v>244</v>
      </c>
      <c r="F89" s="10">
        <f>+Historicals!F122</f>
        <v>237</v>
      </c>
      <c r="G89" s="10">
        <f>+Historicals!G122</f>
        <v>214</v>
      </c>
      <c r="H89" s="10">
        <f>+Historicals!H122</f>
        <v>190</v>
      </c>
      <c r="I89" s="10">
        <f>+Historicals!I122</f>
        <v>234</v>
      </c>
      <c r="J89" s="10">
        <f>I89*(1+J90)</f>
        <v>234</v>
      </c>
      <c r="K89" s="10">
        <f>J89*(1+K90)</f>
        <v>234</v>
      </c>
      <c r="L89" s="10">
        <f>K89*(1+L90)</f>
        <v>234</v>
      </c>
      <c r="M89" s="10">
        <f>L89*(1+M90)</f>
        <v>234</v>
      </c>
      <c r="N89" s="10">
        <f>M89*(1+N90)</f>
        <v>234</v>
      </c>
    </row>
    <row r="90" spans="1:14" x14ac:dyDescent="0.3">
      <c r="A90" s="48" t="s">
        <v>134</v>
      </c>
      <c r="B90" s="55" t="s">
        <v>140</v>
      </c>
      <c r="C90" s="53">
        <f t="shared" ref="C90:I90" si="62">(C89-B89)/C89</f>
        <v>-0.14444444444444443</v>
      </c>
      <c r="D90" s="53">
        <f t="shared" si="62"/>
        <v>-1.1235955056179775E-2</v>
      </c>
      <c r="E90" s="53">
        <f t="shared" si="62"/>
        <v>-9.4262295081967207E-2</v>
      </c>
      <c r="F90" s="53">
        <f t="shared" si="62"/>
        <v>-2.9535864978902954E-2</v>
      </c>
      <c r="G90" s="53">
        <f t="shared" si="62"/>
        <v>-0.10747663551401869</v>
      </c>
      <c r="H90" s="53">
        <f t="shared" si="62"/>
        <v>-0.12631578947368421</v>
      </c>
      <c r="I90" s="53">
        <f t="shared" si="62"/>
        <v>0.18803418803418803</v>
      </c>
      <c r="J90" s="53">
        <v>0</v>
      </c>
      <c r="K90" s="53">
        <v>0</v>
      </c>
      <c r="L90" s="53">
        <v>0</v>
      </c>
      <c r="M90" s="53">
        <v>0</v>
      </c>
      <c r="N90" s="53">
        <v>0</v>
      </c>
    </row>
    <row r="91" spans="1:14" x14ac:dyDescent="0.3">
      <c r="A91" s="48" t="s">
        <v>149</v>
      </c>
      <c r="B91" s="52">
        <f>+Historicals!B194</f>
        <v>-6.9277108433734941E-2</v>
      </c>
      <c r="C91" s="52">
        <f>+Historicals!C194</f>
        <v>-0.12621359223300971</v>
      </c>
      <c r="D91" s="52">
        <f>+Historicals!D194</f>
        <v>-1.1111111111111112E-2</v>
      </c>
      <c r="E91" s="52">
        <f>+Historicals!E194</f>
        <v>-8.6142322097378279E-2</v>
      </c>
      <c r="F91" s="52">
        <f>+Historicals!F194</f>
        <v>-2.8688524590163935E-2</v>
      </c>
      <c r="G91" s="52">
        <f>+Historicals!G194</f>
        <v>-9.7046413502109699E-2</v>
      </c>
      <c r="H91" s="52">
        <f>+Historicals!H194</f>
        <v>-0.11214953271028037</v>
      </c>
      <c r="I91" s="52">
        <f>+Historicals!I194</f>
        <v>0.28000000000000003</v>
      </c>
      <c r="J91" s="53">
        <v>0</v>
      </c>
      <c r="K91" s="53">
        <v>0</v>
      </c>
      <c r="L91" s="53">
        <v>0</v>
      </c>
      <c r="M91" s="53">
        <v>0</v>
      </c>
      <c r="N91" s="53">
        <v>0</v>
      </c>
    </row>
    <row r="92" spans="1:14" x14ac:dyDescent="0.3">
      <c r="A92" s="48" t="s">
        <v>150</v>
      </c>
      <c r="B92" s="55" t="s">
        <v>140</v>
      </c>
      <c r="C92" s="53">
        <f t="shared" ref="C92:I92" si="63">C90-C91</f>
        <v>-1.8230852211434723E-2</v>
      </c>
      <c r="D92" s="53">
        <f t="shared" si="63"/>
        <v>-1.2484394506866343E-4</v>
      </c>
      <c r="E92" s="53">
        <f t="shared" si="63"/>
        <v>-8.1199729845889274E-3</v>
      </c>
      <c r="F92" s="53">
        <f t="shared" si="63"/>
        <v>-8.4734038873901865E-4</v>
      </c>
      <c r="G92" s="53">
        <f t="shared" si="63"/>
        <v>-1.0430222011908991E-2</v>
      </c>
      <c r="H92" s="53">
        <f t="shared" si="63"/>
        <v>-1.4166256763403842E-2</v>
      </c>
      <c r="I92" s="53">
        <f t="shared" si="63"/>
        <v>-9.1965811965811994E-2</v>
      </c>
      <c r="J92" s="53">
        <v>0</v>
      </c>
      <c r="K92" s="53">
        <v>0</v>
      </c>
      <c r="L92" s="53">
        <v>0</v>
      </c>
      <c r="M92" s="53">
        <v>0</v>
      </c>
      <c r="N92" s="53">
        <v>0</v>
      </c>
    </row>
    <row r="93" spans="1:14" x14ac:dyDescent="0.3">
      <c r="A93" s="49" t="s">
        <v>108</v>
      </c>
      <c r="B93" s="51">
        <f>+Historicals!B123</f>
        <v>115</v>
      </c>
      <c r="C93" s="51">
        <f>+Historicals!C123</f>
        <v>73</v>
      </c>
      <c r="D93" s="51">
        <f>+Historicals!D123</f>
        <v>73</v>
      </c>
      <c r="E93" s="51">
        <f>+Historicals!E123</f>
        <v>88</v>
      </c>
      <c r="F93" s="51">
        <f>+Historicals!F123</f>
        <v>42</v>
      </c>
      <c r="G93" s="51">
        <f>+Historicals!G123</f>
        <v>30</v>
      </c>
      <c r="H93" s="51">
        <f>+Historicals!H123</f>
        <v>25</v>
      </c>
      <c r="I93" s="51">
        <f>+Historicals!I123</f>
        <v>102</v>
      </c>
      <c r="J93" s="10">
        <f>I93*(1+J94)</f>
        <v>102</v>
      </c>
      <c r="K93" s="10">
        <f>J93*(1+K94)</f>
        <v>102</v>
      </c>
      <c r="L93" s="10">
        <f>K93*(1+L94)</f>
        <v>102</v>
      </c>
      <c r="M93" s="10">
        <f>L93*(1+M94)</f>
        <v>102</v>
      </c>
      <c r="N93" s="10">
        <f>M93*(1+N94)</f>
        <v>102</v>
      </c>
    </row>
    <row r="94" spans="1:14" x14ac:dyDescent="0.3">
      <c r="A94" s="48" t="s">
        <v>134</v>
      </c>
      <c r="B94" s="55" t="s">
        <v>140</v>
      </c>
      <c r="C94" s="53">
        <f t="shared" ref="C94:I94" si="64">(C93-B93)/C93</f>
        <v>-0.57534246575342463</v>
      </c>
      <c r="D94" s="53">
        <f t="shared" si="64"/>
        <v>0</v>
      </c>
      <c r="E94" s="53">
        <f t="shared" si="64"/>
        <v>0.17045454545454544</v>
      </c>
      <c r="F94" s="53">
        <f t="shared" si="64"/>
        <v>-1.0952380952380953</v>
      </c>
      <c r="G94" s="53">
        <f t="shared" si="64"/>
        <v>-0.4</v>
      </c>
      <c r="H94" s="53">
        <f t="shared" si="64"/>
        <v>-0.2</v>
      </c>
      <c r="I94" s="53">
        <f t="shared" si="64"/>
        <v>0.75490196078431371</v>
      </c>
      <c r="J94" s="53">
        <v>0</v>
      </c>
      <c r="K94" s="53">
        <v>0</v>
      </c>
      <c r="L94" s="53">
        <v>0</v>
      </c>
      <c r="M94" s="53">
        <v>0</v>
      </c>
      <c r="N94" s="53">
        <v>0</v>
      </c>
    </row>
    <row r="95" spans="1:14" x14ac:dyDescent="0.3">
      <c r="A95" s="48" t="s">
        <v>149</v>
      </c>
      <c r="B95" s="52">
        <f>+Historicals!B195</f>
        <v>-0.08</v>
      </c>
      <c r="C95" s="52">
        <f>+Historicals!C195</f>
        <v>-0.36521739130434783</v>
      </c>
      <c r="D95" s="52">
        <f>+Historicals!D195</f>
        <v>0</v>
      </c>
      <c r="E95" s="52">
        <f>+Historicals!E195</f>
        <v>0.20547945205479451</v>
      </c>
      <c r="F95" s="52">
        <f>+Historicals!F195</f>
        <v>-0.52272727272727271</v>
      </c>
      <c r="G95" s="52">
        <f>+Historicals!G195</f>
        <v>-0.2857142857142857</v>
      </c>
      <c r="H95" s="52">
        <f>+Historicals!H195</f>
        <v>-0.16666666666666666</v>
      </c>
      <c r="I95" s="52">
        <f>+Historicals!I195</f>
        <v>3.02</v>
      </c>
      <c r="J95" s="53">
        <v>0</v>
      </c>
      <c r="K95" s="53">
        <v>0</v>
      </c>
      <c r="L95" s="53">
        <v>0</v>
      </c>
      <c r="M95" s="53">
        <v>0</v>
      </c>
      <c r="N95" s="53">
        <v>0</v>
      </c>
    </row>
    <row r="96" spans="1:14" x14ac:dyDescent="0.3">
      <c r="A96" s="48" t="s">
        <v>150</v>
      </c>
      <c r="B96" s="55" t="s">
        <v>140</v>
      </c>
      <c r="C96" s="53">
        <f t="shared" ref="C96:I96" si="65">C94-C95</f>
        <v>-0.2101250744490768</v>
      </c>
      <c r="D96" s="53">
        <f t="shared" si="65"/>
        <v>0</v>
      </c>
      <c r="E96" s="53">
        <f t="shared" si="65"/>
        <v>-3.5024906600249067E-2</v>
      </c>
      <c r="F96" s="53">
        <f t="shared" si="65"/>
        <v>-0.57251082251082264</v>
      </c>
      <c r="G96" s="53">
        <f t="shared" si="65"/>
        <v>-0.11428571428571432</v>
      </c>
      <c r="H96" s="53">
        <f t="shared" si="65"/>
        <v>-3.3333333333333354E-2</v>
      </c>
      <c r="I96" s="53">
        <f t="shared" si="65"/>
        <v>-2.2650980392156863</v>
      </c>
      <c r="J96" s="53">
        <v>0</v>
      </c>
      <c r="K96" s="53">
        <v>0</v>
      </c>
      <c r="L96" s="53">
        <v>0</v>
      </c>
      <c r="M96" s="53">
        <v>0</v>
      </c>
      <c r="N96" s="53">
        <v>0</v>
      </c>
    </row>
    <row r="97" spans="1:14" x14ac:dyDescent="0.3">
      <c r="A97" s="11" t="s">
        <v>152</v>
      </c>
      <c r="B97" s="10">
        <v>0</v>
      </c>
      <c r="C97" s="10">
        <v>0</v>
      </c>
      <c r="D97" s="10">
        <v>0</v>
      </c>
      <c r="E97" s="10">
        <v>0</v>
      </c>
      <c r="F97" s="10">
        <v>106</v>
      </c>
      <c r="G97" s="10">
        <v>90</v>
      </c>
      <c r="H97" s="10">
        <v>86</v>
      </c>
      <c r="I97" s="10">
        <v>123</v>
      </c>
      <c r="J97" s="10">
        <v>123</v>
      </c>
      <c r="K97" s="10">
        <v>123</v>
      </c>
      <c r="L97" s="10">
        <v>123</v>
      </c>
      <c r="M97" s="10">
        <v>123</v>
      </c>
      <c r="N97" s="10">
        <v>123</v>
      </c>
    </row>
    <row r="98" spans="1:14" x14ac:dyDescent="0.3">
      <c r="A98" s="11" t="s">
        <v>135</v>
      </c>
      <c r="B98" s="10">
        <f t="shared" ref="B98:I98" si="66">B105+B101</f>
        <v>-2057</v>
      </c>
      <c r="C98" s="10">
        <f t="shared" si="66"/>
        <v>-2366</v>
      </c>
      <c r="D98" s="10">
        <f t="shared" si="66"/>
        <v>-2444</v>
      </c>
      <c r="E98" s="10">
        <f t="shared" si="66"/>
        <v>-2441</v>
      </c>
      <c r="F98" s="10">
        <f t="shared" si="66"/>
        <v>-3067</v>
      </c>
      <c r="G98" s="10">
        <f t="shared" si="66"/>
        <v>-3254</v>
      </c>
      <c r="H98" s="10">
        <f t="shared" si="66"/>
        <v>-3434</v>
      </c>
      <c r="I98" s="10">
        <f t="shared" si="66"/>
        <v>-4042</v>
      </c>
      <c r="J98" s="10">
        <f>I98*(1+J99)</f>
        <v>-4042</v>
      </c>
      <c r="K98" s="10">
        <f>J98*(1+K99)</f>
        <v>-4042</v>
      </c>
      <c r="L98" s="10">
        <f>K98*(1+L99)</f>
        <v>-4042</v>
      </c>
      <c r="M98" s="10">
        <f>L98*(1+M99)</f>
        <v>-4042</v>
      </c>
      <c r="N98" s="10">
        <f>M98*(1+N99)</f>
        <v>-4042</v>
      </c>
    </row>
    <row r="99" spans="1:14" x14ac:dyDescent="0.3">
      <c r="A99" s="43" t="s">
        <v>134</v>
      </c>
      <c r="B99" s="45" t="s">
        <v>140</v>
      </c>
      <c r="C99" s="53">
        <f t="shared" ref="C99:I99" si="67">(C98-B98)/C98</f>
        <v>0.13060016906170752</v>
      </c>
      <c r="D99" s="53">
        <f t="shared" si="67"/>
        <v>3.1914893617021274E-2</v>
      </c>
      <c r="E99" s="53">
        <f t="shared" si="67"/>
        <v>-1.2290045063498567E-3</v>
      </c>
      <c r="F99" s="53">
        <f t="shared" si="67"/>
        <v>0.20410824910335834</v>
      </c>
      <c r="G99" s="53">
        <f t="shared" si="67"/>
        <v>5.7467732022126614E-2</v>
      </c>
      <c r="H99" s="53">
        <f t="shared" si="67"/>
        <v>5.2417006406523005E-2</v>
      </c>
      <c r="I99" s="53">
        <f t="shared" si="67"/>
        <v>0.1504205838693716</v>
      </c>
      <c r="J99" s="53">
        <v>0</v>
      </c>
      <c r="K99" s="53">
        <v>0</v>
      </c>
      <c r="L99" s="53">
        <v>0</v>
      </c>
      <c r="M99" s="53">
        <v>0</v>
      </c>
      <c r="N99" s="53">
        <v>0</v>
      </c>
    </row>
    <row r="100" spans="1:14" x14ac:dyDescent="0.3">
      <c r="A100" s="43" t="s">
        <v>137</v>
      </c>
      <c r="B100" s="53">
        <f t="shared" ref="B100:N100" si="68">B98/B83</f>
        <v>-1.2280597014925374</v>
      </c>
      <c r="C100" s="53">
        <f t="shared" si="68"/>
        <v>-1.6205479452054794</v>
      </c>
      <c r="D100" s="53">
        <f t="shared" si="68"/>
        <v>-1.6026229508196721</v>
      </c>
      <c r="E100" s="53">
        <f t="shared" si="68"/>
        <v>-1.4538415723645026</v>
      </c>
      <c r="F100" s="53">
        <f t="shared" si="68"/>
        <v>-1.8321385902031064</v>
      </c>
      <c r="G100" s="53">
        <f t="shared" si="68"/>
        <v>-2.0223741454319453</v>
      </c>
      <c r="H100" s="53">
        <f t="shared" si="68"/>
        <v>-2.0093622001170277</v>
      </c>
      <c r="I100" s="53">
        <f t="shared" si="68"/>
        <v>-2.0770811921891057</v>
      </c>
      <c r="J100" s="53">
        <f t="shared" si="68"/>
        <v>-2.0770811921891057</v>
      </c>
      <c r="K100" s="53">
        <f t="shared" si="68"/>
        <v>-2.0770811921891057</v>
      </c>
      <c r="L100" s="53">
        <f t="shared" si="68"/>
        <v>-2.0770811921891057</v>
      </c>
      <c r="M100" s="53">
        <f t="shared" si="68"/>
        <v>-2.0770811921891057</v>
      </c>
      <c r="N100" s="53">
        <f t="shared" si="68"/>
        <v>-2.0770811921891057</v>
      </c>
    </row>
    <row r="101" spans="1:14" x14ac:dyDescent="0.3">
      <c r="A101" s="11" t="s">
        <v>138</v>
      </c>
      <c r="B101" s="51">
        <f>+Historicals!B171</f>
        <v>210</v>
      </c>
      <c r="C101" s="51">
        <f>+Historicals!C171</f>
        <v>230</v>
      </c>
      <c r="D101" s="51">
        <f>+Historicals!D171</f>
        <v>233</v>
      </c>
      <c r="E101" s="51">
        <f>+Historicals!E171</f>
        <v>217</v>
      </c>
      <c r="F101" s="51">
        <f>+Historicals!F171</f>
        <v>195</v>
      </c>
      <c r="G101" s="51">
        <f>+Historicals!G171</f>
        <v>214</v>
      </c>
      <c r="H101" s="51">
        <f>+Historicals!H171</f>
        <v>222</v>
      </c>
      <c r="I101" s="51">
        <f>+Historicals!I171</f>
        <v>220</v>
      </c>
      <c r="J101" s="10">
        <f>I101*(1+J102)</f>
        <v>220</v>
      </c>
      <c r="K101" s="10">
        <f>J101*(1+K102)</f>
        <v>220</v>
      </c>
      <c r="L101" s="10">
        <f>K101*(1+L102)</f>
        <v>220</v>
      </c>
      <c r="M101" s="10">
        <f>L101*(1+M102)</f>
        <v>220</v>
      </c>
      <c r="N101" s="10">
        <f>M101*(1+N102)</f>
        <v>220</v>
      </c>
    </row>
    <row r="102" spans="1:14" x14ac:dyDescent="0.3">
      <c r="A102" s="43" t="s">
        <v>134</v>
      </c>
      <c r="B102" s="45" t="s">
        <v>140</v>
      </c>
      <c r="C102" s="53">
        <f t="shared" ref="C102:I102" si="69">(C101-B101)/C101</f>
        <v>8.6956521739130432E-2</v>
      </c>
      <c r="D102" s="53">
        <f t="shared" si="69"/>
        <v>1.2875536480686695E-2</v>
      </c>
      <c r="E102" s="53">
        <f t="shared" si="69"/>
        <v>-7.3732718894009217E-2</v>
      </c>
      <c r="F102" s="53">
        <f t="shared" si="69"/>
        <v>-0.11282051282051282</v>
      </c>
      <c r="G102" s="53">
        <f t="shared" si="69"/>
        <v>8.8785046728971959E-2</v>
      </c>
      <c r="H102" s="53">
        <f t="shared" si="69"/>
        <v>3.6036036036036036E-2</v>
      </c>
      <c r="I102" s="53">
        <f t="shared" si="69"/>
        <v>-9.0909090909090905E-3</v>
      </c>
      <c r="J102" s="53">
        <v>0</v>
      </c>
      <c r="K102" s="53">
        <v>0</v>
      </c>
      <c r="L102" s="53">
        <v>0</v>
      </c>
      <c r="M102" s="53">
        <v>0</v>
      </c>
      <c r="N102" s="53">
        <v>0</v>
      </c>
    </row>
    <row r="103" spans="1:14" x14ac:dyDescent="0.3">
      <c r="A103" s="43" t="s">
        <v>141</v>
      </c>
      <c r="B103" s="53">
        <f t="shared" ref="B103:N103" si="70">B101/B83</f>
        <v>0.1253731343283582</v>
      </c>
      <c r="C103" s="53">
        <f t="shared" si="70"/>
        <v>0.15753424657534246</v>
      </c>
      <c r="D103" s="53">
        <f t="shared" si="70"/>
        <v>0.15278688524590164</v>
      </c>
      <c r="E103" s="53">
        <f t="shared" si="70"/>
        <v>0.12924359737939251</v>
      </c>
      <c r="F103" s="53">
        <f t="shared" si="70"/>
        <v>0.11648745519713262</v>
      </c>
      <c r="G103" s="53">
        <f t="shared" si="70"/>
        <v>0.13300186451211932</v>
      </c>
      <c r="H103" s="53">
        <f t="shared" si="70"/>
        <v>0.12990052662375659</v>
      </c>
      <c r="I103" s="53">
        <f t="shared" si="70"/>
        <v>0.11305241521068859</v>
      </c>
      <c r="J103" s="53">
        <f t="shared" si="70"/>
        <v>0.11305241521068859</v>
      </c>
      <c r="K103" s="53">
        <f t="shared" si="70"/>
        <v>0.11305241521068859</v>
      </c>
      <c r="L103" s="53">
        <f t="shared" si="70"/>
        <v>0.11305241521068859</v>
      </c>
      <c r="M103" s="53">
        <f t="shared" si="70"/>
        <v>0.11305241521068859</v>
      </c>
      <c r="N103" s="53">
        <f t="shared" si="70"/>
        <v>0.11305241521068859</v>
      </c>
    </row>
    <row r="104" spans="1:14" x14ac:dyDescent="0.3">
      <c r="A104" s="43" t="s">
        <v>151</v>
      </c>
      <c r="B104" s="53">
        <f t="shared" ref="B104:N104" si="71">B101/B111</f>
        <v>0.43388429752066116</v>
      </c>
      <c r="C104" s="53">
        <f t="shared" si="71"/>
        <v>0.45009784735812131</v>
      </c>
      <c r="D104" s="53">
        <f t="shared" si="71"/>
        <v>0.43714821763602252</v>
      </c>
      <c r="E104" s="53">
        <f t="shared" si="71"/>
        <v>0.36348408710217756</v>
      </c>
      <c r="F104" s="53">
        <f t="shared" si="71"/>
        <v>0.2932330827067669</v>
      </c>
      <c r="G104" s="53">
        <f t="shared" si="71"/>
        <v>0.25783132530120484</v>
      </c>
      <c r="H104" s="53">
        <f t="shared" si="71"/>
        <v>0.2846153846153846</v>
      </c>
      <c r="I104" s="53">
        <f t="shared" si="71"/>
        <v>0.27883396704689478</v>
      </c>
      <c r="J104" s="53">
        <f t="shared" si="71"/>
        <v>0.27883396704689478</v>
      </c>
      <c r="K104" s="53">
        <f t="shared" si="71"/>
        <v>0.27883396704689478</v>
      </c>
      <c r="L104" s="53">
        <f t="shared" si="71"/>
        <v>0.27883396704689478</v>
      </c>
      <c r="M104" s="53">
        <f t="shared" si="71"/>
        <v>0.27883396704689478</v>
      </c>
      <c r="N104" s="53">
        <f t="shared" si="71"/>
        <v>0.27883396704689478</v>
      </c>
    </row>
    <row r="105" spans="1:14" x14ac:dyDescent="0.3">
      <c r="A105" s="11" t="s">
        <v>142</v>
      </c>
      <c r="B105" s="51">
        <f>+Historicals!B138</f>
        <v>-2267</v>
      </c>
      <c r="C105" s="51">
        <f>+Historicals!C138</f>
        <v>-2596</v>
      </c>
      <c r="D105" s="51">
        <f>+Historicals!D138</f>
        <v>-2677</v>
      </c>
      <c r="E105" s="51">
        <f>+Historicals!E138</f>
        <v>-2658</v>
      </c>
      <c r="F105" s="51">
        <f>+Historicals!F138</f>
        <v>-3262</v>
      </c>
      <c r="G105" s="51">
        <f>+Historicals!G138</f>
        <v>-3468</v>
      </c>
      <c r="H105" s="51">
        <f>+Historicals!H138</f>
        <v>-3656</v>
      </c>
      <c r="I105" s="51">
        <f>+Historicals!I138</f>
        <v>-4262</v>
      </c>
      <c r="J105" s="10">
        <f>I105*(1+J106)</f>
        <v>-4262</v>
      </c>
      <c r="K105" s="10">
        <f>J105*(1+K106)</f>
        <v>-4262</v>
      </c>
      <c r="L105" s="10">
        <f>K105*(1+L106)</f>
        <v>-4262</v>
      </c>
      <c r="M105" s="10">
        <f>L105*(1+M106)</f>
        <v>-4262</v>
      </c>
      <c r="N105" s="10">
        <f>M105*(1+N106)</f>
        <v>-4262</v>
      </c>
    </row>
    <row r="106" spans="1:14" x14ac:dyDescent="0.3">
      <c r="A106" s="43" t="s">
        <v>134</v>
      </c>
      <c r="B106" s="45" t="s">
        <v>140</v>
      </c>
      <c r="C106" s="53">
        <f t="shared" ref="C106:I106" si="72">(C105-B105)/C105</f>
        <v>0.12673343605546997</v>
      </c>
      <c r="D106" s="53">
        <f t="shared" si="72"/>
        <v>3.0257751214045572E-2</v>
      </c>
      <c r="E106" s="53">
        <f t="shared" si="72"/>
        <v>-7.1482317531978935E-3</v>
      </c>
      <c r="F106" s="53">
        <f t="shared" si="72"/>
        <v>0.18516247700797056</v>
      </c>
      <c r="G106" s="53">
        <f t="shared" si="72"/>
        <v>5.9400230680507496E-2</v>
      </c>
      <c r="H106" s="53">
        <f t="shared" si="72"/>
        <v>5.1422319474835887E-2</v>
      </c>
      <c r="I106" s="53">
        <f t="shared" si="72"/>
        <v>0.14218676677616143</v>
      </c>
      <c r="J106" s="53">
        <v>0</v>
      </c>
      <c r="K106" s="53">
        <v>0</v>
      </c>
      <c r="L106" s="53">
        <v>0</v>
      </c>
      <c r="M106" s="53">
        <v>0</v>
      </c>
      <c r="N106" s="53">
        <v>0</v>
      </c>
    </row>
    <row r="107" spans="1:14" x14ac:dyDescent="0.3">
      <c r="A107" s="43" t="s">
        <v>137</v>
      </c>
      <c r="B107" s="53">
        <f t="shared" ref="B107:N107" si="73">B105/B83</f>
        <v>-1.3534328358208956</v>
      </c>
      <c r="C107" s="53">
        <f t="shared" si="73"/>
        <v>-1.7780821917808218</v>
      </c>
      <c r="D107" s="53">
        <f t="shared" si="73"/>
        <v>-1.7554098360655739</v>
      </c>
      <c r="E107" s="53">
        <f t="shared" si="73"/>
        <v>-1.5830851697438952</v>
      </c>
      <c r="F107" s="53">
        <f t="shared" si="73"/>
        <v>-1.9486260454002389</v>
      </c>
      <c r="G107" s="53">
        <f t="shared" si="73"/>
        <v>-2.1553760099440646</v>
      </c>
      <c r="H107" s="53">
        <f t="shared" si="73"/>
        <v>-2.139262726740784</v>
      </c>
      <c r="I107" s="53">
        <f t="shared" si="73"/>
        <v>-2.1901336073997943</v>
      </c>
      <c r="J107" s="53">
        <f t="shared" si="73"/>
        <v>-2.1901336073997943</v>
      </c>
      <c r="K107" s="53">
        <f t="shared" si="73"/>
        <v>-2.1901336073997943</v>
      </c>
      <c r="L107" s="53">
        <f t="shared" si="73"/>
        <v>-2.1901336073997943</v>
      </c>
      <c r="M107" s="53">
        <f t="shared" si="73"/>
        <v>-2.1901336073997943</v>
      </c>
      <c r="N107" s="53">
        <f t="shared" si="73"/>
        <v>-2.1901336073997943</v>
      </c>
    </row>
    <row r="108" spans="1:14" x14ac:dyDescent="0.3">
      <c r="A108" s="11" t="s">
        <v>144</v>
      </c>
      <c r="B108" s="51">
        <v>52</v>
      </c>
      <c r="C108" s="51">
        <v>64</v>
      </c>
      <c r="D108" s="51">
        <v>59</v>
      </c>
      <c r="E108" s="51">
        <v>49</v>
      </c>
      <c r="F108" s="51">
        <v>47</v>
      </c>
      <c r="G108" s="51">
        <v>41</v>
      </c>
      <c r="H108" s="51">
        <v>54</v>
      </c>
      <c r="I108" s="51">
        <v>56</v>
      </c>
      <c r="J108" s="10">
        <f>I108*(1+J109)</f>
        <v>56</v>
      </c>
      <c r="K108" s="10">
        <f>J108*(1+K109)</f>
        <v>56</v>
      </c>
      <c r="L108" s="10">
        <f>K108*(1+L109)</f>
        <v>56</v>
      </c>
      <c r="M108" s="10">
        <f>L108*(1+M109)</f>
        <v>56</v>
      </c>
      <c r="N108" s="10">
        <f>M108*(1+N109)</f>
        <v>56</v>
      </c>
    </row>
    <row r="109" spans="1:14" x14ac:dyDescent="0.3">
      <c r="A109" s="43" t="s">
        <v>134</v>
      </c>
      <c r="B109" s="45" t="s">
        <v>140</v>
      </c>
      <c r="C109" s="53">
        <f t="shared" ref="C109:I109" si="74">(C108-B108)/C108</f>
        <v>0.1875</v>
      </c>
      <c r="D109" s="53">
        <f t="shared" si="74"/>
        <v>-8.4745762711864403E-2</v>
      </c>
      <c r="E109" s="53">
        <f t="shared" si="74"/>
        <v>-0.20408163265306123</v>
      </c>
      <c r="F109" s="53">
        <f t="shared" si="74"/>
        <v>-4.2553191489361701E-2</v>
      </c>
      <c r="G109" s="53">
        <f t="shared" si="74"/>
        <v>-0.14634146341463414</v>
      </c>
      <c r="H109" s="53">
        <f t="shared" si="74"/>
        <v>0.24074074074074073</v>
      </c>
      <c r="I109" s="53">
        <f t="shared" si="74"/>
        <v>3.5714285714285712E-2</v>
      </c>
      <c r="J109" s="53">
        <v>0</v>
      </c>
      <c r="K109" s="53">
        <v>0</v>
      </c>
      <c r="L109" s="53">
        <v>0</v>
      </c>
      <c r="M109" s="53">
        <v>0</v>
      </c>
      <c r="N109" s="53">
        <v>0</v>
      </c>
    </row>
    <row r="110" spans="1:14" x14ac:dyDescent="0.3">
      <c r="A110" s="43" t="s">
        <v>141</v>
      </c>
      <c r="B110" s="53">
        <f t="shared" ref="B110:N110" si="75">B108/B83</f>
        <v>3.1044776119402984E-2</v>
      </c>
      <c r="C110" s="53">
        <f t="shared" si="75"/>
        <v>4.3835616438356165E-2</v>
      </c>
      <c r="D110" s="53">
        <f t="shared" si="75"/>
        <v>3.8688524590163934E-2</v>
      </c>
      <c r="E110" s="53">
        <f t="shared" si="75"/>
        <v>2.9184038117927337E-2</v>
      </c>
      <c r="F110" s="53">
        <f t="shared" si="75"/>
        <v>2.8076463560334528E-2</v>
      </c>
      <c r="G110" s="53">
        <f t="shared" si="75"/>
        <v>2.54816656308266E-2</v>
      </c>
      <c r="H110" s="53">
        <f t="shared" si="75"/>
        <v>3.1597425394967821E-2</v>
      </c>
      <c r="I110" s="53">
        <f t="shared" si="75"/>
        <v>2.8776978417266189E-2</v>
      </c>
      <c r="J110" s="53">
        <f t="shared" si="75"/>
        <v>2.8776978417266189E-2</v>
      </c>
      <c r="K110" s="53">
        <f t="shared" si="75"/>
        <v>2.8776978417266189E-2</v>
      </c>
      <c r="L110" s="53">
        <f t="shared" si="75"/>
        <v>2.8776978417266189E-2</v>
      </c>
      <c r="M110" s="53">
        <f t="shared" si="75"/>
        <v>2.8776978417266189E-2</v>
      </c>
      <c r="N110" s="53">
        <f t="shared" si="75"/>
        <v>2.8776978417266189E-2</v>
      </c>
    </row>
    <row r="111" spans="1:14" x14ac:dyDescent="0.3">
      <c r="A111" s="11" t="s">
        <v>146</v>
      </c>
      <c r="B111" s="51">
        <f>+Historicals!B149</f>
        <v>484</v>
      </c>
      <c r="C111" s="51">
        <f>+Historicals!C149</f>
        <v>511</v>
      </c>
      <c r="D111" s="51">
        <f>+Historicals!D149</f>
        <v>533</v>
      </c>
      <c r="E111" s="51">
        <f>+Historicals!E149</f>
        <v>597</v>
      </c>
      <c r="F111" s="51">
        <f>+Historicals!F149</f>
        <v>665</v>
      </c>
      <c r="G111" s="51">
        <f>+Historicals!G149</f>
        <v>830</v>
      </c>
      <c r="H111" s="51">
        <f>+Historicals!H149</f>
        <v>780</v>
      </c>
      <c r="I111" s="51">
        <f>+Historicals!I149</f>
        <v>789</v>
      </c>
      <c r="J111" s="10">
        <f>I111*(1+J112)</f>
        <v>789</v>
      </c>
      <c r="K111" s="10">
        <f>J111*(1+K112)</f>
        <v>789</v>
      </c>
      <c r="L111" s="10">
        <f>K111*(1+L112)</f>
        <v>789</v>
      </c>
      <c r="M111" s="10">
        <f>L111*(1+M112)</f>
        <v>789</v>
      </c>
      <c r="N111" s="10">
        <f>M111*(1+N112)</f>
        <v>789</v>
      </c>
    </row>
    <row r="112" spans="1:14" x14ac:dyDescent="0.3">
      <c r="A112" s="43" t="s">
        <v>134</v>
      </c>
      <c r="B112" s="45" t="s">
        <v>140</v>
      </c>
      <c r="C112" s="53">
        <f t="shared" ref="C112:I112" si="76">(C111-B111)/C111</f>
        <v>5.2837573385518588E-2</v>
      </c>
      <c r="D112" s="53">
        <f t="shared" si="76"/>
        <v>4.1275797373358347E-2</v>
      </c>
      <c r="E112" s="53">
        <f t="shared" si="76"/>
        <v>0.10720268006700168</v>
      </c>
      <c r="F112" s="53">
        <f t="shared" si="76"/>
        <v>0.10225563909774436</v>
      </c>
      <c r="G112" s="53">
        <f t="shared" si="76"/>
        <v>0.19879518072289157</v>
      </c>
      <c r="H112" s="53">
        <f t="shared" si="76"/>
        <v>-6.4102564102564097E-2</v>
      </c>
      <c r="I112" s="53">
        <f t="shared" si="76"/>
        <v>1.1406844106463879E-2</v>
      </c>
      <c r="J112" s="53">
        <v>0</v>
      </c>
      <c r="K112" s="53">
        <v>0</v>
      </c>
      <c r="L112" s="53">
        <v>0</v>
      </c>
      <c r="M112" s="53">
        <v>0</v>
      </c>
      <c r="N112" s="53">
        <v>0</v>
      </c>
    </row>
    <row r="113" spans="1:14" x14ac:dyDescent="0.3">
      <c r="A113" s="43" t="s">
        <v>141</v>
      </c>
      <c r="B113" s="53">
        <f t="shared" ref="B113:N113" si="77">B111/B83</f>
        <v>0.28895522388059702</v>
      </c>
      <c r="C113" s="53">
        <f t="shared" si="77"/>
        <v>0.35</v>
      </c>
      <c r="D113" s="53">
        <f t="shared" si="77"/>
        <v>0.34950819672131145</v>
      </c>
      <c r="E113" s="53">
        <f t="shared" si="77"/>
        <v>0.35556879094699223</v>
      </c>
      <c r="F113" s="53">
        <f t="shared" si="77"/>
        <v>0.39725209080047791</v>
      </c>
      <c r="G113" s="53">
        <f t="shared" si="77"/>
        <v>0.51584835301429455</v>
      </c>
      <c r="H113" s="53">
        <f t="shared" si="77"/>
        <v>0.45640725570509072</v>
      </c>
      <c r="I113" s="53">
        <f t="shared" si="77"/>
        <v>0.40544707091469684</v>
      </c>
      <c r="J113" s="53">
        <f t="shared" si="77"/>
        <v>0.40544707091469684</v>
      </c>
      <c r="K113" s="53">
        <f t="shared" si="77"/>
        <v>0.40544707091469684</v>
      </c>
      <c r="L113" s="53">
        <f t="shared" si="77"/>
        <v>0.40544707091469684</v>
      </c>
      <c r="M113" s="53">
        <f t="shared" si="77"/>
        <v>0.40544707091469684</v>
      </c>
      <c r="N113" s="53">
        <f t="shared" si="77"/>
        <v>0.40544707091469684</v>
      </c>
    </row>
    <row r="114" spans="1:14" x14ac:dyDescent="0.3">
      <c r="A114" s="47" t="s">
        <v>110</v>
      </c>
      <c r="B114" s="47"/>
      <c r="C114" s="47"/>
      <c r="D114" s="47"/>
      <c r="E114" s="47"/>
      <c r="F114" s="47"/>
      <c r="G114" s="47"/>
      <c r="H114" s="47"/>
      <c r="I114" s="47"/>
      <c r="J114" s="41"/>
      <c r="K114" s="41"/>
      <c r="L114" s="41"/>
      <c r="M114" s="41"/>
      <c r="N114" s="41"/>
    </row>
    <row r="115" spans="1:14" x14ac:dyDescent="0.3">
      <c r="A115" s="11" t="s">
        <v>148</v>
      </c>
      <c r="B115" s="10">
        <f t="shared" ref="B115:N115" si="78">B117+B121+B125</f>
        <v>5704</v>
      </c>
      <c r="C115" s="10">
        <f t="shared" si="78"/>
        <v>5503</v>
      </c>
      <c r="D115" s="10">
        <f t="shared" si="78"/>
        <v>6054</v>
      </c>
      <c r="E115" s="10">
        <f t="shared" si="78"/>
        <v>6804</v>
      </c>
      <c r="F115" s="10">
        <f t="shared" si="78"/>
        <v>7200</v>
      </c>
      <c r="G115" s="10">
        <f t="shared" si="78"/>
        <v>7072</v>
      </c>
      <c r="H115" s="10">
        <f t="shared" si="78"/>
        <v>7885</v>
      </c>
      <c r="I115" s="10">
        <f t="shared" si="78"/>
        <v>8086</v>
      </c>
      <c r="J115" s="10">
        <f t="shared" si="78"/>
        <v>8086</v>
      </c>
      <c r="K115" s="10">
        <f t="shared" si="78"/>
        <v>8086</v>
      </c>
      <c r="L115" s="10">
        <f t="shared" si="78"/>
        <v>8086</v>
      </c>
      <c r="M115" s="10">
        <f t="shared" si="78"/>
        <v>8086</v>
      </c>
      <c r="N115" s="10">
        <f t="shared" si="78"/>
        <v>8086</v>
      </c>
    </row>
    <row r="116" spans="1:14" x14ac:dyDescent="0.3">
      <c r="A116" s="48" t="s">
        <v>134</v>
      </c>
      <c r="B116" s="45">
        <f>+Historicals!B187</f>
        <v>0.17870868562644121</v>
      </c>
      <c r="C116" s="45">
        <f>+Historicals!C187</f>
        <v>0.23410498858819692</v>
      </c>
      <c r="D116" s="45">
        <f>+Historicals!D187</f>
        <v>0.11941875825627477</v>
      </c>
      <c r="E116" s="45">
        <f>+Historicals!E187</f>
        <v>0.21170639603493038</v>
      </c>
      <c r="F116" s="45">
        <f>+Historicals!F187</f>
        <v>0.20919361121932217</v>
      </c>
      <c r="G116" s="45">
        <f>+Historicals!G187</f>
        <v>7.5869845360824736E-2</v>
      </c>
      <c r="H116" s="45">
        <f>+Historicals!H187</f>
        <v>0.24120377301991316</v>
      </c>
      <c r="I116" s="45">
        <f>+Historicals!I187</f>
        <v>-0.13</v>
      </c>
      <c r="J116" s="53">
        <v>0</v>
      </c>
      <c r="K116" s="53">
        <v>0</v>
      </c>
      <c r="L116" s="53">
        <v>0</v>
      </c>
      <c r="M116" s="53">
        <v>0</v>
      </c>
      <c r="N116" s="53">
        <v>0</v>
      </c>
    </row>
    <row r="117" spans="1:14" x14ac:dyDescent="0.3">
      <c r="A117" s="49" t="s">
        <v>106</v>
      </c>
      <c r="B117" s="10">
        <f>+Historicals!B117</f>
        <v>925</v>
      </c>
      <c r="C117" s="10">
        <f>+Historicals!C117</f>
        <v>1055</v>
      </c>
      <c r="D117" s="10">
        <f>+Historicals!D117</f>
        <v>1188</v>
      </c>
      <c r="E117" s="10">
        <f>+Historicals!E117</f>
        <v>1508</v>
      </c>
      <c r="F117" s="10">
        <f>+Historicals!F117</f>
        <v>1808</v>
      </c>
      <c r="G117" s="10">
        <f>+Historicals!G117</f>
        <v>1896</v>
      </c>
      <c r="H117" s="54">
        <f>+Historicals!H117</f>
        <v>2347</v>
      </c>
      <c r="I117" s="54">
        <f>+Historicals!I117</f>
        <v>1938</v>
      </c>
      <c r="J117" s="10">
        <f>I117*(1+J118)</f>
        <v>1938</v>
      </c>
      <c r="K117" s="10">
        <f>J117*(1+K118)</f>
        <v>1938</v>
      </c>
      <c r="L117" s="10">
        <f>K117*(1+L118)</f>
        <v>1938</v>
      </c>
      <c r="M117" s="10">
        <f>L117*(1+M118)</f>
        <v>1938</v>
      </c>
      <c r="N117" s="10">
        <f>M117*(1+N118)</f>
        <v>1938</v>
      </c>
    </row>
    <row r="118" spans="1:14" x14ac:dyDescent="0.3">
      <c r="A118" s="48" t="s">
        <v>134</v>
      </c>
      <c r="B118" s="55" t="s">
        <v>140</v>
      </c>
      <c r="C118" s="53">
        <f t="shared" ref="C118:I118" si="79">(C117-B117)/C117</f>
        <v>0.12322274881516587</v>
      </c>
      <c r="D118" s="53">
        <f t="shared" si="79"/>
        <v>0.11195286195286196</v>
      </c>
      <c r="E118" s="53">
        <f t="shared" si="79"/>
        <v>0.21220159151193635</v>
      </c>
      <c r="F118" s="53">
        <f t="shared" si="79"/>
        <v>0.16592920353982302</v>
      </c>
      <c r="G118" s="53">
        <f t="shared" si="79"/>
        <v>4.6413502109704644E-2</v>
      </c>
      <c r="H118" s="53">
        <f t="shared" si="79"/>
        <v>0.19216020451640392</v>
      </c>
      <c r="I118" s="53">
        <f t="shared" si="79"/>
        <v>-0.21104231166150672</v>
      </c>
      <c r="J118" s="53">
        <v>0</v>
      </c>
      <c r="K118" s="53">
        <v>0</v>
      </c>
      <c r="L118" s="53">
        <v>0</v>
      </c>
      <c r="M118" s="53">
        <v>0</v>
      </c>
      <c r="N118" s="53">
        <v>0</v>
      </c>
    </row>
    <row r="119" spans="1:14" x14ac:dyDescent="0.3">
      <c r="A119" s="48" t="s">
        <v>149</v>
      </c>
      <c r="B119" s="52">
        <f>+Historicals!B189</f>
        <v>5.5936073059360727E-2</v>
      </c>
      <c r="C119" s="52">
        <f>+Historicals!C189</f>
        <v>0.14054054054054055</v>
      </c>
      <c r="D119" s="52">
        <f>+Historicals!D189</f>
        <v>0.12606635071090047</v>
      </c>
      <c r="E119" s="52">
        <f>+Historicals!E189</f>
        <v>0.26936026936026936</v>
      </c>
      <c r="F119" s="52">
        <f>+Historicals!F189</f>
        <v>0.19893899204244031</v>
      </c>
      <c r="G119" s="52">
        <f>+Historicals!G189</f>
        <v>4.8672566371681415E-2</v>
      </c>
      <c r="H119" s="52">
        <f>+Historicals!H189</f>
        <v>0.2378691983122363</v>
      </c>
      <c r="I119" s="52">
        <f>+Historicals!I189</f>
        <v>-0.21</v>
      </c>
      <c r="J119" s="53">
        <v>0</v>
      </c>
      <c r="K119" s="53">
        <v>0</v>
      </c>
      <c r="L119" s="53">
        <v>0</v>
      </c>
      <c r="M119" s="53">
        <v>0</v>
      </c>
      <c r="N119" s="53">
        <v>0</v>
      </c>
    </row>
    <row r="120" spans="1:14" x14ac:dyDescent="0.3">
      <c r="A120" s="48" t="s">
        <v>150</v>
      </c>
      <c r="B120" s="55" t="s">
        <v>140</v>
      </c>
      <c r="C120" s="53">
        <f t="shared" ref="C120:I120" si="80">C118-C119</f>
        <v>-1.7317791725374676E-2</v>
      </c>
      <c r="D120" s="53">
        <f t="shared" si="80"/>
        <v>-1.4113488758038514E-2</v>
      </c>
      <c r="E120" s="53">
        <f t="shared" si="80"/>
        <v>-5.7158677848333006E-2</v>
      </c>
      <c r="F120" s="53">
        <f t="shared" si="80"/>
        <v>-3.3009788502617293E-2</v>
      </c>
      <c r="G120" s="53">
        <f t="shared" si="80"/>
        <v>-2.2590642619767717E-3</v>
      </c>
      <c r="H120" s="53">
        <f t="shared" si="80"/>
        <v>-4.5708993795832376E-2</v>
      </c>
      <c r="I120" s="53">
        <f t="shared" si="80"/>
        <v>-1.0423116615067285E-3</v>
      </c>
      <c r="J120" s="53">
        <v>0</v>
      </c>
      <c r="K120" s="53">
        <v>0</v>
      </c>
      <c r="L120" s="53">
        <v>0</v>
      </c>
      <c r="M120" s="53">
        <v>0</v>
      </c>
      <c r="N120" s="53">
        <v>0</v>
      </c>
    </row>
    <row r="121" spans="1:14" x14ac:dyDescent="0.3">
      <c r="A121" s="49" t="s">
        <v>107</v>
      </c>
      <c r="B121" s="10">
        <f>+Historicals!B118</f>
        <v>126</v>
      </c>
      <c r="C121" s="10">
        <f>+Historicals!C118</f>
        <v>131</v>
      </c>
      <c r="D121" s="10">
        <f>+Historicals!D118</f>
        <v>129</v>
      </c>
      <c r="E121" s="10">
        <f>+Historicals!E118</f>
        <v>130</v>
      </c>
      <c r="F121" s="10">
        <f>+Historicals!F118</f>
        <v>138</v>
      </c>
      <c r="G121" s="10">
        <f>+Historicals!G118</f>
        <v>148</v>
      </c>
      <c r="H121" s="10">
        <f>+Historicals!H118</f>
        <v>195</v>
      </c>
      <c r="I121" s="10">
        <f>+Historicals!I118</f>
        <v>193</v>
      </c>
      <c r="J121" s="10">
        <f>I121*(1+J122)</f>
        <v>193</v>
      </c>
      <c r="K121" s="10">
        <f>J121*(1+K122)</f>
        <v>193</v>
      </c>
      <c r="L121" s="10">
        <f>K121*(1+L122)</f>
        <v>193</v>
      </c>
      <c r="M121" s="10">
        <f>L121*(1+M122)</f>
        <v>193</v>
      </c>
      <c r="N121" s="10">
        <f>M121*(1+N122)</f>
        <v>193</v>
      </c>
    </row>
    <row r="122" spans="1:14" x14ac:dyDescent="0.3">
      <c r="A122" s="48" t="s">
        <v>134</v>
      </c>
      <c r="B122" s="55" t="s">
        <v>140</v>
      </c>
      <c r="C122" s="53">
        <f t="shared" ref="C122:I122" si="81">(C121-B121)/C121</f>
        <v>3.8167938931297711E-2</v>
      </c>
      <c r="D122" s="53">
        <f t="shared" si="81"/>
        <v>-1.5503875968992248E-2</v>
      </c>
      <c r="E122" s="53">
        <f t="shared" si="81"/>
        <v>7.6923076923076927E-3</v>
      </c>
      <c r="F122" s="53">
        <f t="shared" si="81"/>
        <v>5.7971014492753624E-2</v>
      </c>
      <c r="G122" s="53">
        <f t="shared" si="81"/>
        <v>6.7567567567567571E-2</v>
      </c>
      <c r="H122" s="53">
        <f t="shared" si="81"/>
        <v>0.24102564102564103</v>
      </c>
      <c r="I122" s="53">
        <f t="shared" si="81"/>
        <v>-1.0362694300518135E-2</v>
      </c>
      <c r="J122" s="53">
        <v>0</v>
      </c>
      <c r="K122" s="53">
        <v>0</v>
      </c>
      <c r="L122" s="53">
        <v>0</v>
      </c>
      <c r="M122" s="53">
        <v>0</v>
      </c>
      <c r="N122" s="53">
        <v>0</v>
      </c>
    </row>
    <row r="123" spans="1:14" x14ac:dyDescent="0.3">
      <c r="A123" s="48" t="s">
        <v>149</v>
      </c>
      <c r="B123" s="52">
        <f>+Historicals!B190</f>
        <v>0</v>
      </c>
      <c r="C123" s="52">
        <f>+Historicals!C190</f>
        <v>3.968253968253968E-2</v>
      </c>
      <c r="D123" s="52">
        <f>+Historicals!D190</f>
        <v>-1.5267175572519083E-2</v>
      </c>
      <c r="E123" s="52">
        <f>+Historicals!E190</f>
        <v>7.7519379844961239E-3</v>
      </c>
      <c r="F123" s="52">
        <f>+Historicals!F190</f>
        <v>6.1538461538461542E-2</v>
      </c>
      <c r="G123" s="52">
        <f>+Historicals!G190</f>
        <v>7.2463768115942032E-2</v>
      </c>
      <c r="H123" s="52">
        <f>+Historicals!H190</f>
        <v>0.31756756756756754</v>
      </c>
      <c r="I123" s="52">
        <f>+Historicals!I190</f>
        <v>-0.06</v>
      </c>
      <c r="J123" s="53">
        <v>0</v>
      </c>
      <c r="K123" s="53">
        <v>0</v>
      </c>
      <c r="L123" s="53">
        <v>0</v>
      </c>
      <c r="M123" s="53">
        <v>0</v>
      </c>
      <c r="N123" s="53">
        <v>0</v>
      </c>
    </row>
    <row r="124" spans="1:14" x14ac:dyDescent="0.3">
      <c r="A124" s="48" t="s">
        <v>150</v>
      </c>
      <c r="B124" s="55" t="s">
        <v>140</v>
      </c>
      <c r="C124" s="53">
        <f t="shared" ref="C124:I124" si="82">C122-C123</f>
        <v>-1.5146007512419693E-3</v>
      </c>
      <c r="D124" s="53">
        <f t="shared" si="82"/>
        <v>-2.3670039647316447E-4</v>
      </c>
      <c r="E124" s="53">
        <f t="shared" si="82"/>
        <v>-5.9630292188431189E-5</v>
      </c>
      <c r="F124" s="53">
        <f t="shared" si="82"/>
        <v>-3.567447045707918E-3</v>
      </c>
      <c r="G124" s="53">
        <f t="shared" si="82"/>
        <v>-4.8962005483744603E-3</v>
      </c>
      <c r="H124" s="53">
        <f t="shared" si="82"/>
        <v>-7.6541926541926514E-2</v>
      </c>
      <c r="I124" s="53">
        <f t="shared" si="82"/>
        <v>4.9637305699481861E-2</v>
      </c>
      <c r="J124" s="53">
        <v>0</v>
      </c>
      <c r="K124" s="53">
        <v>0</v>
      </c>
      <c r="L124" s="53">
        <v>0</v>
      </c>
      <c r="M124" s="53">
        <v>0</v>
      </c>
      <c r="N124" s="53">
        <v>0</v>
      </c>
    </row>
    <row r="125" spans="1:14" x14ac:dyDescent="0.3">
      <c r="A125" s="49" t="s">
        <v>108</v>
      </c>
      <c r="B125" s="51">
        <f>+Historicals!B119</f>
        <v>4653</v>
      </c>
      <c r="C125" s="51">
        <f>+Historicals!C119</f>
        <v>4317</v>
      </c>
      <c r="D125" s="51">
        <f>+Historicals!D119</f>
        <v>4737</v>
      </c>
      <c r="E125" s="51">
        <f>+Historicals!E119</f>
        <v>5166</v>
      </c>
      <c r="F125" s="51">
        <f>+Historicals!F119</f>
        <v>5254</v>
      </c>
      <c r="G125" s="51">
        <f>+Historicals!G119</f>
        <v>5028</v>
      </c>
      <c r="H125" s="51">
        <f>+Historicals!H119</f>
        <v>5343</v>
      </c>
      <c r="I125" s="51">
        <f>+Historicals!I119</f>
        <v>5955</v>
      </c>
      <c r="J125" s="10">
        <f>I125*(1+J126)</f>
        <v>5955</v>
      </c>
      <c r="K125" s="10">
        <f>J125*(1+K126)</f>
        <v>5955</v>
      </c>
      <c r="L125" s="10">
        <f>K125*(1+L126)</f>
        <v>5955</v>
      </c>
      <c r="M125" s="10">
        <f>L125*(1+M126)</f>
        <v>5955</v>
      </c>
      <c r="N125" s="10">
        <f>M125*(1+N126)</f>
        <v>5955</v>
      </c>
    </row>
    <row r="126" spans="1:14" x14ac:dyDescent="0.3">
      <c r="A126" s="48" t="s">
        <v>134</v>
      </c>
      <c r="B126" s="55" t="s">
        <v>140</v>
      </c>
      <c r="C126" s="53">
        <f t="shared" ref="C126:I126" si="83">(C125-B125)/C125</f>
        <v>-7.7831827658095903E-2</v>
      </c>
      <c r="D126" s="53">
        <f t="shared" si="83"/>
        <v>8.866371120962635E-2</v>
      </c>
      <c r="E126" s="53">
        <f t="shared" si="83"/>
        <v>8.3042973286875724E-2</v>
      </c>
      <c r="F126" s="53">
        <f t="shared" si="83"/>
        <v>1.6749143509706889E-2</v>
      </c>
      <c r="G126" s="53">
        <f t="shared" si="83"/>
        <v>-4.4948289578361181E-2</v>
      </c>
      <c r="H126" s="53">
        <f t="shared" si="83"/>
        <v>5.8955642897248736E-2</v>
      </c>
      <c r="I126" s="53">
        <f t="shared" si="83"/>
        <v>0.10277078085642317</v>
      </c>
      <c r="J126" s="53">
        <v>0</v>
      </c>
      <c r="K126" s="53">
        <v>0</v>
      </c>
      <c r="L126" s="53">
        <v>0</v>
      </c>
      <c r="M126" s="53">
        <v>0</v>
      </c>
      <c r="N126" s="53">
        <v>0</v>
      </c>
    </row>
    <row r="127" spans="1:14" x14ac:dyDescent="0.3">
      <c r="A127" s="48" t="s">
        <v>149</v>
      </c>
      <c r="B127" s="52">
        <f>+Historicals!B191</f>
        <v>-1.4194915254237288E-2</v>
      </c>
      <c r="C127" s="52">
        <f>+Historicals!C191</f>
        <v>-7.2211476466795613E-2</v>
      </c>
      <c r="D127" s="52">
        <f>+Historicals!D191</f>
        <v>9.7289784572619872E-2</v>
      </c>
      <c r="E127" s="52">
        <f>+Historicals!E191</f>
        <v>9.0563647878404055E-2</v>
      </c>
      <c r="F127" s="52">
        <f>+Historicals!F191</f>
        <v>1.7034456058846303E-2</v>
      </c>
      <c r="G127" s="52">
        <f>+Historicals!G191</f>
        <v>-4.3014845831747243E-2</v>
      </c>
      <c r="H127" s="52">
        <f>+Historicals!H191</f>
        <v>6.2649164677804292E-2</v>
      </c>
      <c r="I127" s="52">
        <f>+Historicals!I191</f>
        <v>0.16</v>
      </c>
      <c r="J127" s="53">
        <v>0</v>
      </c>
      <c r="K127" s="53">
        <v>0</v>
      </c>
      <c r="L127" s="53">
        <v>0</v>
      </c>
      <c r="M127" s="53">
        <v>0</v>
      </c>
      <c r="N127" s="53">
        <v>0</v>
      </c>
    </row>
    <row r="128" spans="1:14" x14ac:dyDescent="0.3">
      <c r="A128" s="48" t="s">
        <v>150</v>
      </c>
      <c r="B128" s="55" t="s">
        <v>140</v>
      </c>
      <c r="C128" s="53">
        <f t="shared" ref="C128:I128" si="84">C126-C127</f>
        <v>-5.6203511913002907E-3</v>
      </c>
      <c r="D128" s="53">
        <f t="shared" si="84"/>
        <v>-8.6260733629935221E-3</v>
      </c>
      <c r="E128" s="53">
        <f t="shared" si="84"/>
        <v>-7.5206745915283313E-3</v>
      </c>
      <c r="F128" s="53">
        <f t="shared" si="84"/>
        <v>-2.8531254913941387E-4</v>
      </c>
      <c r="G128" s="53">
        <f t="shared" si="84"/>
        <v>-1.9334437466139373E-3</v>
      </c>
      <c r="H128" s="53">
        <f t="shared" si="84"/>
        <v>-3.6935217805555559E-3</v>
      </c>
      <c r="I128" s="53">
        <f t="shared" si="84"/>
        <v>-5.7229219143576829E-2</v>
      </c>
      <c r="J128" s="53">
        <v>0</v>
      </c>
      <c r="K128" s="53">
        <v>0</v>
      </c>
      <c r="L128" s="53">
        <v>0</v>
      </c>
      <c r="M128" s="53">
        <v>0</v>
      </c>
      <c r="N128" s="53">
        <v>0</v>
      </c>
    </row>
    <row r="129" spans="1:14" x14ac:dyDescent="0.3">
      <c r="A129" s="11" t="s">
        <v>135</v>
      </c>
      <c r="B129" s="10">
        <f t="shared" ref="B129:I129" si="85">B136+B132</f>
        <v>967</v>
      </c>
      <c r="C129" s="10">
        <f t="shared" si="85"/>
        <v>1044</v>
      </c>
      <c r="D129" s="10">
        <f t="shared" si="85"/>
        <v>1034</v>
      </c>
      <c r="E129" s="10">
        <f t="shared" si="85"/>
        <v>1244</v>
      </c>
      <c r="F129" s="10">
        <f t="shared" si="85"/>
        <v>1376</v>
      </c>
      <c r="G129" s="10">
        <f t="shared" si="85"/>
        <v>1230</v>
      </c>
      <c r="H129" s="10">
        <f t="shared" si="85"/>
        <v>1573</v>
      </c>
      <c r="I129" s="10">
        <f t="shared" si="85"/>
        <v>1938</v>
      </c>
      <c r="J129" s="10">
        <f>I129*(1+J130)</f>
        <v>1938</v>
      </c>
      <c r="K129" s="10">
        <f>J129*(1+K130)</f>
        <v>1938</v>
      </c>
      <c r="L129" s="10">
        <f>K129*(1+L130)</f>
        <v>1938</v>
      </c>
      <c r="M129" s="10">
        <f>L129*(1+M130)</f>
        <v>1938</v>
      </c>
      <c r="N129" s="10">
        <f>M129*(1+N130)</f>
        <v>1938</v>
      </c>
    </row>
    <row r="130" spans="1:14" x14ac:dyDescent="0.3">
      <c r="A130" s="43" t="s">
        <v>134</v>
      </c>
      <c r="B130" s="45" t="s">
        <v>140</v>
      </c>
      <c r="C130" s="53">
        <f t="shared" ref="C130:I130" si="86">(C129-B129)/C129</f>
        <v>7.3754789272030649E-2</v>
      </c>
      <c r="D130" s="53">
        <f t="shared" si="86"/>
        <v>-9.6711798839458421E-3</v>
      </c>
      <c r="E130" s="53">
        <f t="shared" si="86"/>
        <v>0.16881028938906753</v>
      </c>
      <c r="F130" s="53">
        <f t="shared" si="86"/>
        <v>9.5930232558139539E-2</v>
      </c>
      <c r="G130" s="53">
        <f t="shared" si="86"/>
        <v>-0.11869918699186992</v>
      </c>
      <c r="H130" s="53">
        <f t="shared" si="86"/>
        <v>0.21805467260012715</v>
      </c>
      <c r="I130" s="53">
        <f t="shared" si="86"/>
        <v>0.18833849329205365</v>
      </c>
      <c r="J130" s="53">
        <v>0</v>
      </c>
      <c r="K130" s="53">
        <v>0</v>
      </c>
      <c r="L130" s="53">
        <v>0</v>
      </c>
      <c r="M130" s="53">
        <v>0</v>
      </c>
      <c r="N130" s="53">
        <v>0</v>
      </c>
    </row>
    <row r="131" spans="1:14" x14ac:dyDescent="0.3">
      <c r="A131" s="43" t="s">
        <v>137</v>
      </c>
      <c r="B131" s="53">
        <f t="shared" ref="B131:N131" si="87">B129/B115</f>
        <v>0.16953015427769985</v>
      </c>
      <c r="C131" s="53">
        <f t="shared" si="87"/>
        <v>0.18971470107214247</v>
      </c>
      <c r="D131" s="53">
        <f t="shared" si="87"/>
        <v>0.170796167822927</v>
      </c>
      <c r="E131" s="53">
        <f t="shared" si="87"/>
        <v>0.18283362727807173</v>
      </c>
      <c r="F131" s="53">
        <f t="shared" si="87"/>
        <v>0.19111111111111112</v>
      </c>
      <c r="G131" s="53">
        <f t="shared" si="87"/>
        <v>0.17392533936651583</v>
      </c>
      <c r="H131" s="53">
        <f t="shared" si="87"/>
        <v>0.19949270767279645</v>
      </c>
      <c r="I131" s="53">
        <f t="shared" si="87"/>
        <v>0.23967350976997279</v>
      </c>
      <c r="J131" s="53">
        <f t="shared" si="87"/>
        <v>0.23967350976997279</v>
      </c>
      <c r="K131" s="53">
        <f t="shared" si="87"/>
        <v>0.23967350976997279</v>
      </c>
      <c r="L131" s="53">
        <f t="shared" si="87"/>
        <v>0.23967350976997279</v>
      </c>
      <c r="M131" s="53">
        <f t="shared" si="87"/>
        <v>0.23967350976997279</v>
      </c>
      <c r="N131" s="53">
        <f t="shared" si="87"/>
        <v>0.23967350976997279</v>
      </c>
    </row>
    <row r="132" spans="1:14" x14ac:dyDescent="0.3">
      <c r="A132" s="11" t="s">
        <v>138</v>
      </c>
      <c r="B132" s="51">
        <f>+Historicals!B170</f>
        <v>49</v>
      </c>
      <c r="C132" s="51">
        <f>+Historicals!C170</f>
        <v>42</v>
      </c>
      <c r="D132" s="51">
        <f>+Historicals!D170</f>
        <v>54</v>
      </c>
      <c r="E132" s="51">
        <f>+Historicals!E170</f>
        <v>55</v>
      </c>
      <c r="F132" s="51">
        <f>+Historicals!F170</f>
        <v>53</v>
      </c>
      <c r="G132" s="51">
        <f>+Historicals!G170</f>
        <v>46</v>
      </c>
      <c r="H132" s="51">
        <f>+Historicals!H170</f>
        <v>43</v>
      </c>
      <c r="I132" s="51">
        <f>+Historicals!I170</f>
        <v>42</v>
      </c>
      <c r="J132" s="10">
        <f>I132*(1+J133)</f>
        <v>42</v>
      </c>
      <c r="K132" s="10">
        <f>J132*(1+K133)</f>
        <v>42</v>
      </c>
      <c r="L132" s="10">
        <f>K132*(1+L133)</f>
        <v>42</v>
      </c>
      <c r="M132" s="10">
        <f>L132*(1+M133)</f>
        <v>42</v>
      </c>
      <c r="N132" s="10">
        <f>M132*(1+N133)</f>
        <v>42</v>
      </c>
    </row>
    <row r="133" spans="1:14" x14ac:dyDescent="0.3">
      <c r="A133" s="43" t="s">
        <v>134</v>
      </c>
      <c r="B133" s="45" t="s">
        <v>140</v>
      </c>
      <c r="C133" s="53">
        <f t="shared" ref="C133:I133" si="88">(C132-B132)/C132</f>
        <v>-0.16666666666666666</v>
      </c>
      <c r="D133" s="53">
        <f t="shared" si="88"/>
        <v>0.22222222222222221</v>
      </c>
      <c r="E133" s="53">
        <f t="shared" si="88"/>
        <v>1.8181818181818181E-2</v>
      </c>
      <c r="F133" s="53">
        <f t="shared" si="88"/>
        <v>-3.7735849056603772E-2</v>
      </c>
      <c r="G133" s="53">
        <f t="shared" si="88"/>
        <v>-0.15217391304347827</v>
      </c>
      <c r="H133" s="53">
        <f t="shared" si="88"/>
        <v>-6.9767441860465115E-2</v>
      </c>
      <c r="I133" s="53">
        <f t="shared" si="88"/>
        <v>-2.3809523809523808E-2</v>
      </c>
      <c r="J133" s="53">
        <v>0</v>
      </c>
      <c r="K133" s="53">
        <v>0</v>
      </c>
      <c r="L133" s="53">
        <v>0</v>
      </c>
      <c r="M133" s="53">
        <v>0</v>
      </c>
      <c r="N133" s="53">
        <v>0</v>
      </c>
    </row>
    <row r="134" spans="1:14" x14ac:dyDescent="0.3">
      <c r="A134" s="43" t="s">
        <v>141</v>
      </c>
      <c r="B134" s="53">
        <f t="shared" ref="B134:N134" si="89">B132/B115</f>
        <v>8.590462833099579E-3</v>
      </c>
      <c r="C134" s="53">
        <f t="shared" si="89"/>
        <v>7.6322006178448122E-3</v>
      </c>
      <c r="D134" s="53">
        <f t="shared" si="89"/>
        <v>8.9197224975222991E-3</v>
      </c>
      <c r="E134" s="53">
        <f t="shared" si="89"/>
        <v>8.0834803057025281E-3</v>
      </c>
      <c r="F134" s="53">
        <f t="shared" si="89"/>
        <v>7.3611111111111108E-3</v>
      </c>
      <c r="G134" s="53">
        <f t="shared" si="89"/>
        <v>6.5045248868778284E-3</v>
      </c>
      <c r="H134" s="53">
        <f t="shared" si="89"/>
        <v>5.4533925174381735E-3</v>
      </c>
      <c r="I134" s="53">
        <f t="shared" si="89"/>
        <v>5.1941627504328465E-3</v>
      </c>
      <c r="J134" s="53">
        <f t="shared" si="89"/>
        <v>5.1941627504328465E-3</v>
      </c>
      <c r="K134" s="53">
        <f t="shared" si="89"/>
        <v>5.1941627504328465E-3</v>
      </c>
      <c r="L134" s="53">
        <f t="shared" si="89"/>
        <v>5.1941627504328465E-3</v>
      </c>
      <c r="M134" s="53">
        <f t="shared" si="89"/>
        <v>5.1941627504328465E-3</v>
      </c>
      <c r="N134" s="53">
        <f t="shared" si="89"/>
        <v>5.1941627504328465E-3</v>
      </c>
    </row>
    <row r="135" spans="1:14" x14ac:dyDescent="0.3">
      <c r="A135" s="43" t="s">
        <v>151</v>
      </c>
      <c r="B135" s="53">
        <f t="shared" ref="B135:N135" si="90">B132/B115</f>
        <v>8.590462833099579E-3</v>
      </c>
      <c r="C135" s="53">
        <f t="shared" si="90"/>
        <v>7.6322006178448122E-3</v>
      </c>
      <c r="D135" s="53">
        <f t="shared" si="90"/>
        <v>8.9197224975222991E-3</v>
      </c>
      <c r="E135" s="53">
        <f t="shared" si="90"/>
        <v>8.0834803057025281E-3</v>
      </c>
      <c r="F135" s="53">
        <f t="shared" si="90"/>
        <v>7.3611111111111108E-3</v>
      </c>
      <c r="G135" s="53">
        <f t="shared" si="90"/>
        <v>6.5045248868778284E-3</v>
      </c>
      <c r="H135" s="53">
        <f t="shared" si="90"/>
        <v>5.4533925174381735E-3</v>
      </c>
      <c r="I135" s="53">
        <f t="shared" si="90"/>
        <v>5.1941627504328465E-3</v>
      </c>
      <c r="J135" s="53">
        <f t="shared" si="90"/>
        <v>5.1941627504328465E-3</v>
      </c>
      <c r="K135" s="53">
        <f t="shared" si="90"/>
        <v>5.1941627504328465E-3</v>
      </c>
      <c r="L135" s="53">
        <f t="shared" si="90"/>
        <v>5.1941627504328465E-3</v>
      </c>
      <c r="M135" s="53">
        <f t="shared" si="90"/>
        <v>5.1941627504328465E-3</v>
      </c>
      <c r="N135" s="53">
        <f t="shared" si="90"/>
        <v>5.1941627504328465E-3</v>
      </c>
    </row>
    <row r="136" spans="1:14" x14ac:dyDescent="0.3">
      <c r="A136" s="11" t="s">
        <v>142</v>
      </c>
      <c r="B136" s="51">
        <f>+Historicals!B137</f>
        <v>918</v>
      </c>
      <c r="C136" s="51">
        <f>+Historicals!C137</f>
        <v>1002</v>
      </c>
      <c r="D136" s="51">
        <f>+Historicals!D137</f>
        <v>980</v>
      </c>
      <c r="E136" s="51">
        <f>+Historicals!E137</f>
        <v>1189</v>
      </c>
      <c r="F136" s="51">
        <f>+Historicals!F137</f>
        <v>1323</v>
      </c>
      <c r="G136" s="51">
        <f>+Historicals!G137</f>
        <v>1184</v>
      </c>
      <c r="H136" s="51">
        <f>+Historicals!H137</f>
        <v>1530</v>
      </c>
      <c r="I136" s="51">
        <f>+Historicals!I137</f>
        <v>1896</v>
      </c>
      <c r="J136" s="10">
        <f>I136*(1+J137)</f>
        <v>1896</v>
      </c>
      <c r="K136" s="10">
        <f>J136*(1+K137)</f>
        <v>1896</v>
      </c>
      <c r="L136" s="10">
        <f>K136*(1+L137)</f>
        <v>1896</v>
      </c>
      <c r="M136" s="10">
        <f>L136*(1+M137)</f>
        <v>1896</v>
      </c>
      <c r="N136" s="10">
        <f>M136*(1+N137)</f>
        <v>1896</v>
      </c>
    </row>
    <row r="137" spans="1:14" x14ac:dyDescent="0.3">
      <c r="A137" s="43" t="s">
        <v>134</v>
      </c>
      <c r="B137" s="45" t="s">
        <v>140</v>
      </c>
      <c r="C137" s="53">
        <f t="shared" ref="C137:I137" si="91">(C136-B136)/C136</f>
        <v>8.3832335329341312E-2</v>
      </c>
      <c r="D137" s="53">
        <f t="shared" si="91"/>
        <v>-2.2448979591836733E-2</v>
      </c>
      <c r="E137" s="53">
        <f t="shared" si="91"/>
        <v>0.17577796467619849</v>
      </c>
      <c r="F137" s="53">
        <f t="shared" si="91"/>
        <v>0.10128495842781557</v>
      </c>
      <c r="G137" s="53">
        <f t="shared" si="91"/>
        <v>-0.11739864864864864</v>
      </c>
      <c r="H137" s="53">
        <f t="shared" si="91"/>
        <v>0.2261437908496732</v>
      </c>
      <c r="I137" s="53">
        <f t="shared" si="91"/>
        <v>0.19303797468354431</v>
      </c>
      <c r="J137" s="53">
        <v>0</v>
      </c>
      <c r="K137" s="53">
        <v>0</v>
      </c>
      <c r="L137" s="53">
        <v>0</v>
      </c>
      <c r="M137" s="53">
        <v>0</v>
      </c>
      <c r="N137" s="53">
        <v>0</v>
      </c>
    </row>
    <row r="138" spans="1:14" x14ac:dyDescent="0.3">
      <c r="A138" s="43" t="s">
        <v>137</v>
      </c>
      <c r="B138" s="53">
        <f t="shared" ref="B138:N138" si="92">B136/B115</f>
        <v>0.16093969144460027</v>
      </c>
      <c r="C138" s="53">
        <f t="shared" si="92"/>
        <v>0.18208250045429766</v>
      </c>
      <c r="D138" s="53">
        <f t="shared" si="92"/>
        <v>0.16187644532540468</v>
      </c>
      <c r="E138" s="53">
        <f t="shared" si="92"/>
        <v>0.17475014697236921</v>
      </c>
      <c r="F138" s="53">
        <f t="shared" si="92"/>
        <v>0.18375</v>
      </c>
      <c r="G138" s="53">
        <f t="shared" si="92"/>
        <v>0.167420814479638</v>
      </c>
      <c r="H138" s="53">
        <f t="shared" si="92"/>
        <v>0.19403931515535827</v>
      </c>
      <c r="I138" s="53">
        <f t="shared" si="92"/>
        <v>0.23447934701953996</v>
      </c>
      <c r="J138" s="53">
        <f t="shared" si="92"/>
        <v>0.23447934701953996</v>
      </c>
      <c r="K138" s="53">
        <f t="shared" si="92"/>
        <v>0.23447934701953996</v>
      </c>
      <c r="L138" s="53">
        <f t="shared" si="92"/>
        <v>0.23447934701953996</v>
      </c>
      <c r="M138" s="53">
        <f t="shared" si="92"/>
        <v>0.23447934701953996</v>
      </c>
      <c r="N138" s="53">
        <f t="shared" si="92"/>
        <v>0.23447934701953996</v>
      </c>
    </row>
    <row r="139" spans="1:14" x14ac:dyDescent="0.3">
      <c r="A139" s="11" t="s">
        <v>144</v>
      </c>
      <c r="B139" s="51">
        <v>69</v>
      </c>
      <c r="C139" s="51">
        <v>44</v>
      </c>
      <c r="D139" s="51">
        <v>51</v>
      </c>
      <c r="E139" s="51">
        <v>76</v>
      </c>
      <c r="F139" s="51">
        <v>49</v>
      </c>
      <c r="G139" s="51">
        <v>28</v>
      </c>
      <c r="H139" s="51">
        <v>94</v>
      </c>
      <c r="I139" s="51">
        <v>78</v>
      </c>
      <c r="J139" s="10">
        <f>I139*(1+J140)</f>
        <v>78</v>
      </c>
      <c r="K139" s="10">
        <f>J139*(1+K140)</f>
        <v>78</v>
      </c>
      <c r="L139" s="10">
        <f>K139*(1+L140)</f>
        <v>78</v>
      </c>
      <c r="M139" s="10">
        <f>L139*(1+M140)</f>
        <v>78</v>
      </c>
      <c r="N139" s="10">
        <f>M139*(1+N140)</f>
        <v>78</v>
      </c>
    </row>
    <row r="140" spans="1:14" x14ac:dyDescent="0.3">
      <c r="A140" s="43" t="s">
        <v>134</v>
      </c>
      <c r="B140" s="45" t="s">
        <v>140</v>
      </c>
      <c r="C140" s="53">
        <f t="shared" ref="C140:I140" si="93">(C139-B139)/C139</f>
        <v>-0.56818181818181823</v>
      </c>
      <c r="D140" s="53">
        <f t="shared" si="93"/>
        <v>0.13725490196078433</v>
      </c>
      <c r="E140" s="53">
        <f t="shared" si="93"/>
        <v>0.32894736842105265</v>
      </c>
      <c r="F140" s="53">
        <f t="shared" si="93"/>
        <v>-0.55102040816326525</v>
      </c>
      <c r="G140" s="53">
        <f t="shared" si="93"/>
        <v>-0.75</v>
      </c>
      <c r="H140" s="53">
        <f t="shared" si="93"/>
        <v>0.7021276595744681</v>
      </c>
      <c r="I140" s="53">
        <f t="shared" si="93"/>
        <v>-0.20512820512820512</v>
      </c>
      <c r="J140" s="53">
        <v>0</v>
      </c>
      <c r="K140" s="53">
        <v>0</v>
      </c>
      <c r="L140" s="53">
        <v>0</v>
      </c>
      <c r="M140" s="53">
        <v>0</v>
      </c>
      <c r="N140" s="53">
        <v>0</v>
      </c>
    </row>
    <row r="141" spans="1:14" x14ac:dyDescent="0.3">
      <c r="A141" s="43" t="s">
        <v>141</v>
      </c>
      <c r="B141" s="53">
        <f t="shared" ref="B141:N141" si="94">B139/B115</f>
        <v>1.2096774193548387E-2</v>
      </c>
      <c r="C141" s="53">
        <f t="shared" si="94"/>
        <v>7.9956387425040888E-3</v>
      </c>
      <c r="D141" s="53">
        <f t="shared" si="94"/>
        <v>8.4241823587710603E-3</v>
      </c>
      <c r="E141" s="53">
        <f t="shared" si="94"/>
        <v>1.1169900058788948E-2</v>
      </c>
      <c r="F141" s="53">
        <f t="shared" si="94"/>
        <v>6.8055555555555551E-3</v>
      </c>
      <c r="G141" s="53">
        <f t="shared" si="94"/>
        <v>3.9592760180995473E-3</v>
      </c>
      <c r="H141" s="53">
        <f t="shared" si="94"/>
        <v>1.1921369689283449E-2</v>
      </c>
      <c r="I141" s="53">
        <f t="shared" si="94"/>
        <v>9.6463022508038593E-3</v>
      </c>
      <c r="J141" s="53">
        <f t="shared" si="94"/>
        <v>9.6463022508038593E-3</v>
      </c>
      <c r="K141" s="53">
        <f t="shared" si="94"/>
        <v>9.6463022508038593E-3</v>
      </c>
      <c r="L141" s="53">
        <f t="shared" si="94"/>
        <v>9.6463022508038593E-3</v>
      </c>
      <c r="M141" s="53">
        <f t="shared" si="94"/>
        <v>9.6463022508038593E-3</v>
      </c>
      <c r="N141" s="53">
        <f t="shared" si="94"/>
        <v>9.6463022508038593E-3</v>
      </c>
    </row>
    <row r="142" spans="1:14" x14ac:dyDescent="0.3">
      <c r="A142" s="11" t="s">
        <v>146</v>
      </c>
      <c r="B142" s="51">
        <f>+Historicals!B148</f>
        <v>308</v>
      </c>
      <c r="C142" s="51">
        <f>+Historicals!C148</f>
        <v>332</v>
      </c>
      <c r="D142" s="51">
        <f>+Historicals!D148</f>
        <v>340</v>
      </c>
      <c r="E142" s="51">
        <f>+Historicals!E148</f>
        <v>339</v>
      </c>
      <c r="F142" s="51">
        <f>+Historicals!F148</f>
        <v>326</v>
      </c>
      <c r="G142" s="51">
        <f>+Historicals!G148</f>
        <v>296</v>
      </c>
      <c r="H142" s="51">
        <f>+Historicals!H148</f>
        <v>304</v>
      </c>
      <c r="I142" s="51">
        <f>+Historicals!I148</f>
        <v>274</v>
      </c>
      <c r="J142" s="10">
        <f>I142*(1+J143)</f>
        <v>274</v>
      </c>
      <c r="K142" s="10">
        <f>J142*(1+K143)</f>
        <v>274</v>
      </c>
      <c r="L142" s="10">
        <f>K142*(1+L143)</f>
        <v>274</v>
      </c>
      <c r="M142" s="10">
        <f>L142*(1+M143)</f>
        <v>274</v>
      </c>
      <c r="N142" s="10">
        <f>M142*(1+N143)</f>
        <v>274</v>
      </c>
    </row>
    <row r="143" spans="1:14" x14ac:dyDescent="0.3">
      <c r="A143" s="43" t="s">
        <v>134</v>
      </c>
      <c r="B143" s="45" t="s">
        <v>140</v>
      </c>
      <c r="C143" s="53">
        <f t="shared" ref="C143:I143" si="95">(C142-B142)/C142</f>
        <v>7.2289156626506021E-2</v>
      </c>
      <c r="D143" s="53">
        <f t="shared" si="95"/>
        <v>2.3529411764705882E-2</v>
      </c>
      <c r="E143" s="53">
        <f t="shared" si="95"/>
        <v>-2.9498525073746312E-3</v>
      </c>
      <c r="F143" s="53">
        <f t="shared" si="95"/>
        <v>-3.9877300613496931E-2</v>
      </c>
      <c r="G143" s="53">
        <f t="shared" si="95"/>
        <v>-0.10135135135135136</v>
      </c>
      <c r="H143" s="53">
        <f t="shared" si="95"/>
        <v>2.6315789473684209E-2</v>
      </c>
      <c r="I143" s="53">
        <f t="shared" si="95"/>
        <v>-0.10948905109489052</v>
      </c>
      <c r="J143" s="53">
        <v>0</v>
      </c>
      <c r="K143" s="53">
        <v>0</v>
      </c>
      <c r="L143" s="53">
        <v>0</v>
      </c>
      <c r="M143" s="53">
        <v>0</v>
      </c>
      <c r="N143" s="53">
        <v>0</v>
      </c>
    </row>
    <row r="144" spans="1:14" x14ac:dyDescent="0.3">
      <c r="A144" s="43" t="s">
        <v>141</v>
      </c>
      <c r="B144" s="53">
        <f t="shared" ref="B144:N144" si="96">B142/B115</f>
        <v>5.3997194950911639E-2</v>
      </c>
      <c r="C144" s="53">
        <f t="shared" si="96"/>
        <v>6.0330728693439944E-2</v>
      </c>
      <c r="D144" s="53">
        <f t="shared" si="96"/>
        <v>5.6161215725140406E-2</v>
      </c>
      <c r="E144" s="53">
        <f t="shared" si="96"/>
        <v>4.9823633156966488E-2</v>
      </c>
      <c r="F144" s="53">
        <f t="shared" si="96"/>
        <v>4.5277777777777778E-2</v>
      </c>
      <c r="G144" s="53">
        <f t="shared" si="96"/>
        <v>4.1855203619909499E-2</v>
      </c>
      <c r="H144" s="53">
        <f t="shared" si="96"/>
        <v>3.8554216867469883E-2</v>
      </c>
      <c r="I144" s="53">
        <f t="shared" si="96"/>
        <v>3.3885728419490474E-2</v>
      </c>
      <c r="J144" s="53">
        <f t="shared" si="96"/>
        <v>3.3885728419490474E-2</v>
      </c>
      <c r="K144" s="53">
        <f t="shared" si="96"/>
        <v>3.3885728419490474E-2</v>
      </c>
      <c r="L144" s="53">
        <f t="shared" si="96"/>
        <v>3.3885728419490474E-2</v>
      </c>
      <c r="M144" s="53">
        <f t="shared" si="96"/>
        <v>3.3885728419490474E-2</v>
      </c>
      <c r="N144" s="53">
        <f t="shared" si="96"/>
        <v>3.3885728419490474E-2</v>
      </c>
    </row>
    <row r="145" spans="1:14" x14ac:dyDescent="0.3">
      <c r="A145" s="47" t="s">
        <v>114</v>
      </c>
      <c r="B145" s="47"/>
      <c r="C145" s="47"/>
      <c r="D145" s="47"/>
      <c r="E145" s="47"/>
      <c r="F145" s="47"/>
      <c r="G145" s="47"/>
      <c r="H145" s="47"/>
      <c r="I145" s="47"/>
      <c r="J145" s="41"/>
      <c r="K145" s="41"/>
      <c r="L145" s="41"/>
      <c r="M145" s="41"/>
      <c r="N145" s="41"/>
    </row>
    <row r="146" spans="1:14" x14ac:dyDescent="0.3">
      <c r="A146" s="11" t="s">
        <v>148</v>
      </c>
      <c r="B146" s="51">
        <f>+Historicals!B125</f>
        <v>1982</v>
      </c>
      <c r="C146" s="51">
        <f>+Historicals!C125</f>
        <v>1955</v>
      </c>
      <c r="D146" s="51">
        <f>+Historicals!D125</f>
        <v>2042</v>
      </c>
      <c r="E146" s="51">
        <f>+Historicals!E125</f>
        <v>1886</v>
      </c>
      <c r="F146" s="51">
        <f>+Historicals!F125</f>
        <v>1906</v>
      </c>
      <c r="G146" s="51">
        <f>+Historicals!G125</f>
        <v>1846</v>
      </c>
      <c r="H146" s="51">
        <f>+Historicals!H125</f>
        <v>2205</v>
      </c>
      <c r="I146" s="51">
        <f>+Historicals!I125</f>
        <v>2346</v>
      </c>
      <c r="J146" s="10">
        <f>J148+J152+J156</f>
        <v>2223</v>
      </c>
      <c r="K146" s="10">
        <f>K148+K152+K156</f>
        <v>2223</v>
      </c>
      <c r="L146" s="10">
        <f>L148+L152+L156</f>
        <v>2223</v>
      </c>
      <c r="M146" s="10">
        <f>M148+M152+M156</f>
        <v>2223</v>
      </c>
      <c r="N146" s="10">
        <f>N148+N152+N156</f>
        <v>2223</v>
      </c>
    </row>
    <row r="147" spans="1:14" x14ac:dyDescent="0.3">
      <c r="A147" s="48" t="s">
        <v>134</v>
      </c>
      <c r="B147" s="52">
        <f>+Historicals!B197</f>
        <v>0.17695961995249407</v>
      </c>
      <c r="C147" s="52">
        <f>+Historicals!C197</f>
        <v>-1.3622603430877902E-2</v>
      </c>
      <c r="D147" s="52">
        <f>+Historicals!D197</f>
        <v>4.4501278772378514E-2</v>
      </c>
      <c r="E147" s="52">
        <f>+Historicals!E197</f>
        <v>-7.6395690499510283E-2</v>
      </c>
      <c r="F147" s="52">
        <f>+Historicals!F197</f>
        <v>1.0604453870625663E-2</v>
      </c>
      <c r="G147" s="52">
        <f>+Historicals!G197</f>
        <v>-3.1479538300104928E-2</v>
      </c>
      <c r="H147" s="52">
        <f>+Historicals!H197</f>
        <v>0.19447453954496208</v>
      </c>
      <c r="I147" s="52">
        <f>+Historicals!I197</f>
        <v>7.0000000000000007E-2</v>
      </c>
      <c r="J147" s="53">
        <v>0</v>
      </c>
      <c r="K147" s="53">
        <v>0</v>
      </c>
      <c r="L147" s="53">
        <v>0</v>
      </c>
      <c r="M147" s="53">
        <v>0</v>
      </c>
      <c r="N147" s="53">
        <v>0</v>
      </c>
    </row>
    <row r="148" spans="1:14" x14ac:dyDescent="0.3">
      <c r="A148" s="49" t="s">
        <v>106</v>
      </c>
      <c r="B148" s="51">
        <f>+Historicals!B126</f>
        <v>18318</v>
      </c>
      <c r="C148" s="51">
        <f>+Historicals!C126</f>
        <v>19871</v>
      </c>
      <c r="D148" s="51">
        <f>+Historicals!D126</f>
        <v>21081</v>
      </c>
      <c r="E148" s="51">
        <f>+Historicals!E126</f>
        <v>22268</v>
      </c>
      <c r="F148" s="51">
        <f>+Historicals!F126</f>
        <v>25880</v>
      </c>
      <c r="G148" s="51">
        <f>+Historicals!G126</f>
        <v>24947</v>
      </c>
      <c r="H148" s="51">
        <f>+Historicals!H126</f>
        <v>1986</v>
      </c>
      <c r="I148" s="51">
        <f>+Historicals!I126</f>
        <v>2094</v>
      </c>
      <c r="J148" s="10">
        <f>I148*(1+J149)</f>
        <v>2094</v>
      </c>
      <c r="K148" s="10">
        <f>J148*(1+K149)</f>
        <v>2094</v>
      </c>
      <c r="L148" s="10">
        <f>K148*(1+L149)</f>
        <v>2094</v>
      </c>
      <c r="M148" s="10">
        <f>L148*(1+M149)</f>
        <v>2094</v>
      </c>
      <c r="N148" s="10">
        <f>M148*(1+N149)</f>
        <v>2094</v>
      </c>
    </row>
    <row r="149" spans="1:14" x14ac:dyDescent="0.3">
      <c r="A149" s="48" t="s">
        <v>134</v>
      </c>
      <c r="B149" s="45" t="s">
        <v>140</v>
      </c>
      <c r="C149" s="53">
        <f t="shared" ref="C149:I149" si="97">C148/B148-1</f>
        <v>8.4779997816355479E-2</v>
      </c>
      <c r="D149" s="53">
        <f t="shared" si="97"/>
        <v>6.0892758290976845E-2</v>
      </c>
      <c r="E149" s="53">
        <f t="shared" si="97"/>
        <v>5.6306626820359584E-2</v>
      </c>
      <c r="F149" s="53">
        <f t="shared" si="97"/>
        <v>0.16220585593677028</v>
      </c>
      <c r="G149" s="53">
        <f t="shared" si="97"/>
        <v>-3.6051004636785122E-2</v>
      </c>
      <c r="H149" s="53">
        <f t="shared" si="97"/>
        <v>-0.92039122940634144</v>
      </c>
      <c r="I149" s="53">
        <f t="shared" si="97"/>
        <v>5.4380664652567967E-2</v>
      </c>
      <c r="J149" s="53">
        <v>0</v>
      </c>
      <c r="K149" s="53">
        <v>0</v>
      </c>
      <c r="L149" s="53">
        <v>0</v>
      </c>
      <c r="M149" s="53">
        <v>0</v>
      </c>
      <c r="N149" s="53">
        <v>0</v>
      </c>
    </row>
    <row r="150" spans="1:14" x14ac:dyDescent="0.3">
      <c r="A150" s="48" t="s">
        <v>149</v>
      </c>
      <c r="B150" s="52">
        <f>+Historicals!B198</f>
        <v>0.13018262586377097</v>
      </c>
      <c r="C150" s="52">
        <f>+Historicals!C198</f>
        <v>8.4779997816355493E-2</v>
      </c>
      <c r="D150" s="52">
        <f>+Historicals!D198</f>
        <v>6.0892758290976803E-2</v>
      </c>
      <c r="E150" s="52">
        <f>+Historicals!E198</f>
        <v>5.6306626820359564E-2</v>
      </c>
      <c r="F150" s="52">
        <f>+Historicals!F198</f>
        <v>0.16220585593677025</v>
      </c>
      <c r="G150" s="52">
        <f>+Historicals!G198</f>
        <v>-3.6051004636785164E-2</v>
      </c>
      <c r="H150" s="52">
        <f>+Historicals!H198</f>
        <v>-0.92039122940634144</v>
      </c>
      <c r="I150" s="52">
        <f>+Historicals!I198</f>
        <v>0.06</v>
      </c>
      <c r="J150" s="53">
        <v>0</v>
      </c>
      <c r="K150" s="53">
        <v>0</v>
      </c>
      <c r="L150" s="53">
        <v>0</v>
      </c>
      <c r="M150" s="53">
        <v>0</v>
      </c>
      <c r="N150" s="53">
        <v>0</v>
      </c>
    </row>
    <row r="151" spans="1:14" x14ac:dyDescent="0.3">
      <c r="A151" s="48" t="s">
        <v>150</v>
      </c>
      <c r="B151" s="45" t="s">
        <v>140</v>
      </c>
      <c r="C151" s="53">
        <f t="shared" ref="C151:I151" si="98">C149-C150</f>
        <v>0</v>
      </c>
      <c r="D151" s="53">
        <f t="shared" si="98"/>
        <v>0</v>
      </c>
      <c r="E151" s="53">
        <f t="shared" si="98"/>
        <v>0</v>
      </c>
      <c r="F151" s="53">
        <f t="shared" si="98"/>
        <v>0</v>
      </c>
      <c r="G151" s="53">
        <f t="shared" si="98"/>
        <v>0</v>
      </c>
      <c r="H151" s="53">
        <f t="shared" si="98"/>
        <v>0</v>
      </c>
      <c r="I151" s="53">
        <f t="shared" si="98"/>
        <v>-5.6193353474320307E-3</v>
      </c>
      <c r="J151" s="53">
        <v>0</v>
      </c>
      <c r="K151" s="53">
        <v>0</v>
      </c>
      <c r="L151" s="53">
        <v>0</v>
      </c>
      <c r="M151" s="53">
        <v>0</v>
      </c>
      <c r="N151" s="53">
        <v>0</v>
      </c>
    </row>
    <row r="152" spans="1:14" x14ac:dyDescent="0.3">
      <c r="A152" s="49" t="s">
        <v>107</v>
      </c>
      <c r="B152" s="51">
        <f>+Historicals!B127</f>
        <v>8637</v>
      </c>
      <c r="C152" s="51">
        <f>+Historicals!C127</f>
        <v>9067</v>
      </c>
      <c r="D152" s="51">
        <f>+Historicals!D127</f>
        <v>9654</v>
      </c>
      <c r="E152" s="51">
        <f>+Historicals!E127</f>
        <v>10733</v>
      </c>
      <c r="F152" s="51">
        <f>+Historicals!F127</f>
        <v>11668</v>
      </c>
      <c r="G152" s="51">
        <f>+Historicals!G127</f>
        <v>11042</v>
      </c>
      <c r="H152" s="51">
        <f>+Historicals!H127</f>
        <v>104</v>
      </c>
      <c r="I152" s="51">
        <f>+Historicals!I127</f>
        <v>103</v>
      </c>
      <c r="J152" s="10">
        <f>I152*(1+J153)</f>
        <v>103</v>
      </c>
      <c r="K152" s="10">
        <f>J152*(1+K153)</f>
        <v>103</v>
      </c>
      <c r="L152" s="10">
        <f>K152*(1+L153)</f>
        <v>103</v>
      </c>
      <c r="M152" s="10">
        <f>L152*(1+M153)</f>
        <v>103</v>
      </c>
      <c r="N152" s="10">
        <f>M152*(1+N153)</f>
        <v>103</v>
      </c>
    </row>
    <row r="153" spans="1:14" x14ac:dyDescent="0.3">
      <c r="A153" s="48" t="s">
        <v>134</v>
      </c>
      <c r="B153" s="45" t="s">
        <v>140</v>
      </c>
      <c r="C153" s="53">
        <f t="shared" ref="C153:I153" si="99">C152/B152-1</f>
        <v>4.9785805256454818E-2</v>
      </c>
      <c r="D153" s="53">
        <f t="shared" si="99"/>
        <v>6.4740266901952115E-2</v>
      </c>
      <c r="E153" s="53">
        <f t="shared" si="99"/>
        <v>0.1117671431530971</v>
      </c>
      <c r="F153" s="53">
        <f t="shared" si="99"/>
        <v>8.7114506661697622E-2</v>
      </c>
      <c r="G153" s="53">
        <f t="shared" si="99"/>
        <v>-5.3651011312992769E-2</v>
      </c>
      <c r="H153" s="53">
        <f t="shared" si="99"/>
        <v>-0.99058141641007069</v>
      </c>
      <c r="I153" s="53">
        <f t="shared" si="99"/>
        <v>-9.6153846153845812E-3</v>
      </c>
      <c r="J153" s="53">
        <v>0</v>
      </c>
      <c r="K153" s="53">
        <v>0</v>
      </c>
      <c r="L153" s="53">
        <v>0</v>
      </c>
      <c r="M153" s="53">
        <v>0</v>
      </c>
      <c r="N153" s="53">
        <v>0</v>
      </c>
    </row>
    <row r="154" spans="1:14" x14ac:dyDescent="0.3">
      <c r="A154" s="48" t="s">
        <v>149</v>
      </c>
      <c r="B154" s="52">
        <f>+Historicals!B199</f>
        <v>6.5112837587865333E-2</v>
      </c>
      <c r="C154" s="52">
        <f>+Historicals!C199</f>
        <v>4.978580525645479E-2</v>
      </c>
      <c r="D154" s="52">
        <f>+Historicals!D199</f>
        <v>6.4740266901952129E-2</v>
      </c>
      <c r="E154" s="52">
        <f>+Historicals!E199</f>
        <v>0.11176714315309716</v>
      </c>
      <c r="F154" s="52">
        <f>+Historicals!F199</f>
        <v>8.7114506661697566E-2</v>
      </c>
      <c r="G154" s="52">
        <f>+Historicals!G199</f>
        <v>-5.3651011312992804E-2</v>
      </c>
      <c r="H154" s="52">
        <f>+Historicals!H199</f>
        <v>-0.99058141641007069</v>
      </c>
      <c r="I154" s="52">
        <f>+Historicals!I199</f>
        <v>-0.03</v>
      </c>
      <c r="J154" s="53">
        <v>0</v>
      </c>
      <c r="K154" s="53">
        <v>0</v>
      </c>
      <c r="L154" s="53">
        <v>0</v>
      </c>
      <c r="M154" s="53">
        <v>0</v>
      </c>
      <c r="N154" s="53">
        <v>0</v>
      </c>
    </row>
    <row r="155" spans="1:14" x14ac:dyDescent="0.3">
      <c r="A155" s="48" t="s">
        <v>150</v>
      </c>
      <c r="B155" s="45" t="s">
        <v>140</v>
      </c>
      <c r="C155" s="53">
        <f t="shared" ref="C155:I155" si="100">C153-C154</f>
        <v>0</v>
      </c>
      <c r="D155" s="53">
        <f t="shared" si="100"/>
        <v>0</v>
      </c>
      <c r="E155" s="53">
        <f t="shared" si="100"/>
        <v>0</v>
      </c>
      <c r="F155" s="53">
        <f t="shared" si="100"/>
        <v>0</v>
      </c>
      <c r="G155" s="53">
        <f t="shared" si="100"/>
        <v>0</v>
      </c>
      <c r="H155" s="53">
        <f t="shared" si="100"/>
        <v>0</v>
      </c>
      <c r="I155" s="53">
        <f t="shared" si="100"/>
        <v>2.0384615384615418E-2</v>
      </c>
      <c r="J155" s="53">
        <v>0</v>
      </c>
      <c r="K155" s="53">
        <v>0</v>
      </c>
      <c r="L155" s="53">
        <v>0</v>
      </c>
      <c r="M155" s="53">
        <v>0</v>
      </c>
      <c r="N155" s="53">
        <v>0</v>
      </c>
    </row>
    <row r="156" spans="1:14" x14ac:dyDescent="0.3">
      <c r="A156" s="49" t="s">
        <v>108</v>
      </c>
      <c r="B156" s="51">
        <f>+Historicals!B128</f>
        <v>1631</v>
      </c>
      <c r="C156" s="51">
        <f>+Historicals!C128</f>
        <v>1496</v>
      </c>
      <c r="D156" s="51">
        <f>+Historicals!D128</f>
        <v>1425</v>
      </c>
      <c r="E156" s="51">
        <f>+Historicals!E128</f>
        <v>1396</v>
      </c>
      <c r="F156" s="51">
        <f>+Historicals!F128</f>
        <v>1428</v>
      </c>
      <c r="G156" s="51">
        <f>+Historicals!G128</f>
        <v>1305</v>
      </c>
      <c r="H156" s="51">
        <f>+Historicals!H128</f>
        <v>29</v>
      </c>
      <c r="I156" s="51">
        <f>+Historicals!I128</f>
        <v>26</v>
      </c>
      <c r="J156" s="10">
        <f>I156*(1+J157)</f>
        <v>26</v>
      </c>
      <c r="K156" s="10">
        <f>J156*(1+K157)</f>
        <v>26</v>
      </c>
      <c r="L156" s="10">
        <f>K156*(1+L157)</f>
        <v>26</v>
      </c>
      <c r="M156" s="10">
        <f>L156*(1+M157)</f>
        <v>26</v>
      </c>
      <c r="N156" s="10">
        <f>M156*(1+N157)</f>
        <v>26</v>
      </c>
    </row>
    <row r="157" spans="1:14" x14ac:dyDescent="0.3">
      <c r="A157" s="48" t="s">
        <v>134</v>
      </c>
      <c r="B157" s="45" t="s">
        <v>140</v>
      </c>
      <c r="C157" s="53">
        <f t="shared" ref="C157:I157" si="101">C156/B156-1</f>
        <v>-8.2771305947271667E-2</v>
      </c>
      <c r="D157" s="53">
        <f t="shared" si="101"/>
        <v>-4.7459893048128365E-2</v>
      </c>
      <c r="E157" s="53">
        <f t="shared" si="101"/>
        <v>-2.0350877192982453E-2</v>
      </c>
      <c r="F157" s="53">
        <f t="shared" si="101"/>
        <v>2.2922636103151817E-2</v>
      </c>
      <c r="G157" s="53">
        <f t="shared" si="101"/>
        <v>-8.6134453781512632E-2</v>
      </c>
      <c r="H157" s="53">
        <f t="shared" si="101"/>
        <v>-0.97777777777777775</v>
      </c>
      <c r="I157" s="53">
        <f t="shared" si="101"/>
        <v>-0.10344827586206895</v>
      </c>
      <c r="J157" s="53">
        <v>0</v>
      </c>
      <c r="K157" s="53">
        <v>0</v>
      </c>
      <c r="L157" s="53">
        <v>0</v>
      </c>
      <c r="M157" s="53">
        <v>0</v>
      </c>
      <c r="N157" s="53">
        <v>0</v>
      </c>
    </row>
    <row r="158" spans="1:14" x14ac:dyDescent="0.3">
      <c r="A158" s="48" t="s">
        <v>149</v>
      </c>
      <c r="B158" s="52">
        <f>+Historicals!B200</f>
        <v>-2.3353293413173652E-2</v>
      </c>
      <c r="C158" s="52">
        <f>+Historicals!C200</f>
        <v>-8.2771305947271612E-2</v>
      </c>
      <c r="D158" s="52">
        <f>+Historicals!D200</f>
        <v>-4.7459893048128345E-2</v>
      </c>
      <c r="E158" s="52">
        <f>+Historicals!E200</f>
        <v>-2.0350877192982456E-2</v>
      </c>
      <c r="F158" s="52">
        <f>+Historicals!F200</f>
        <v>2.2922636103151862E-2</v>
      </c>
      <c r="G158" s="52">
        <f>+Historicals!G200</f>
        <v>-8.6134453781512604E-2</v>
      </c>
      <c r="H158" s="52">
        <f>+Historicals!H200</f>
        <v>-0.97777777777777775</v>
      </c>
      <c r="I158" s="52">
        <f>+Historicals!I200</f>
        <v>-0.16</v>
      </c>
      <c r="J158" s="53">
        <v>0</v>
      </c>
      <c r="K158" s="53">
        <v>0</v>
      </c>
      <c r="L158" s="53">
        <v>0</v>
      </c>
      <c r="M158" s="53">
        <v>0</v>
      </c>
      <c r="N158" s="53">
        <v>0</v>
      </c>
    </row>
    <row r="159" spans="1:14" x14ac:dyDescent="0.3">
      <c r="A159" s="48" t="s">
        <v>150</v>
      </c>
      <c r="B159" s="45" t="s">
        <v>140</v>
      </c>
      <c r="C159" s="53">
        <f t="shared" ref="C159:I159" si="102">C157-C158</f>
        <v>0</v>
      </c>
      <c r="D159" s="53">
        <f t="shared" si="102"/>
        <v>0</v>
      </c>
      <c r="E159" s="53">
        <f t="shared" si="102"/>
        <v>0</v>
      </c>
      <c r="F159" s="53">
        <f t="shared" si="102"/>
        <v>-4.5102810375396984E-17</v>
      </c>
      <c r="G159" s="53">
        <f t="shared" si="102"/>
        <v>0</v>
      </c>
      <c r="H159" s="53">
        <f t="shared" si="102"/>
        <v>0</v>
      </c>
      <c r="I159" s="53">
        <f t="shared" si="102"/>
        <v>5.6551724137931053E-2</v>
      </c>
      <c r="J159" s="53">
        <v>0</v>
      </c>
      <c r="K159" s="53">
        <v>0</v>
      </c>
      <c r="L159" s="53">
        <v>0</v>
      </c>
      <c r="M159" s="53">
        <v>0</v>
      </c>
      <c r="N159" s="53">
        <v>0</v>
      </c>
    </row>
    <row r="160" spans="1:14" x14ac:dyDescent="0.3">
      <c r="A160" s="11" t="s">
        <v>135</v>
      </c>
      <c r="B160" s="10">
        <f t="shared" ref="B160:I160" si="103">B167+B163</f>
        <v>-1022</v>
      </c>
      <c r="C160" s="10">
        <f t="shared" si="103"/>
        <v>-1089</v>
      </c>
      <c r="D160" s="10">
        <f t="shared" si="103"/>
        <v>-633</v>
      </c>
      <c r="E160" s="10">
        <f t="shared" si="103"/>
        <v>-1346</v>
      </c>
      <c r="F160" s="10">
        <f t="shared" si="103"/>
        <v>-1694</v>
      </c>
      <c r="G160" s="10">
        <f t="shared" si="103"/>
        <v>-1855</v>
      </c>
      <c r="H160" s="10">
        <f t="shared" si="103"/>
        <v>-2120</v>
      </c>
      <c r="I160" s="10">
        <f t="shared" si="103"/>
        <v>-2085</v>
      </c>
      <c r="J160" s="10">
        <f>I160*(1+J161)</f>
        <v>-2085</v>
      </c>
      <c r="K160" s="10">
        <f>J160*(1+K161)</f>
        <v>-2085</v>
      </c>
      <c r="L160" s="10">
        <f>K160*(1+L161)</f>
        <v>-2085</v>
      </c>
      <c r="M160" s="10">
        <f>L160*(1+M161)</f>
        <v>-2085</v>
      </c>
      <c r="N160" s="10">
        <f>M160*(1+N161)</f>
        <v>-2085</v>
      </c>
    </row>
    <row r="161" spans="1:14" x14ac:dyDescent="0.3">
      <c r="A161" s="43" t="s">
        <v>134</v>
      </c>
      <c r="B161" s="45" t="s">
        <v>140</v>
      </c>
      <c r="C161" s="53">
        <f t="shared" ref="C161:I161" si="104">C160/B160-1</f>
        <v>6.5557729941291498E-2</v>
      </c>
      <c r="D161" s="53">
        <f t="shared" si="104"/>
        <v>-0.41873278236914602</v>
      </c>
      <c r="E161" s="53">
        <f t="shared" si="104"/>
        <v>1.126382306477093</v>
      </c>
      <c r="F161" s="53">
        <f t="shared" si="104"/>
        <v>0.25854383358098065</v>
      </c>
      <c r="G161" s="53">
        <f t="shared" si="104"/>
        <v>9.5041322314049603E-2</v>
      </c>
      <c r="H161" s="53">
        <f t="shared" si="104"/>
        <v>0.14285714285714279</v>
      </c>
      <c r="I161" s="53">
        <f t="shared" si="104"/>
        <v>-1.650943396226412E-2</v>
      </c>
      <c r="J161" s="53">
        <v>0</v>
      </c>
      <c r="K161" s="53">
        <v>0</v>
      </c>
      <c r="L161" s="53">
        <v>0</v>
      </c>
      <c r="M161" s="53">
        <v>0</v>
      </c>
      <c r="N161" s="53">
        <v>0</v>
      </c>
    </row>
    <row r="162" spans="1:14" x14ac:dyDescent="0.3">
      <c r="A162" s="43" t="s">
        <v>137</v>
      </c>
      <c r="B162" s="53">
        <f t="shared" ref="B162:N162" si="105">B160/B146</f>
        <v>-0.51564076690211902</v>
      </c>
      <c r="C162" s="53">
        <f t="shared" si="105"/>
        <v>-0.5570332480818414</v>
      </c>
      <c r="D162" s="53">
        <f t="shared" si="105"/>
        <v>-0.30999020568070518</v>
      </c>
      <c r="E162" s="53">
        <f t="shared" si="105"/>
        <v>-0.71367974549310709</v>
      </c>
      <c r="F162" s="53">
        <f t="shared" si="105"/>
        <v>-0.88877229800629587</v>
      </c>
      <c r="G162" s="53">
        <f t="shared" si="105"/>
        <v>-1.004875406283857</v>
      </c>
      <c r="H162" s="53">
        <f t="shared" si="105"/>
        <v>-0.96145124716553287</v>
      </c>
      <c r="I162" s="53">
        <f t="shared" si="105"/>
        <v>-0.88874680306905374</v>
      </c>
      <c r="J162" s="53">
        <f t="shared" si="105"/>
        <v>-0.93792172739541158</v>
      </c>
      <c r="K162" s="53">
        <f t="shared" si="105"/>
        <v>-0.93792172739541158</v>
      </c>
      <c r="L162" s="53">
        <f t="shared" si="105"/>
        <v>-0.93792172739541158</v>
      </c>
      <c r="M162" s="53">
        <f t="shared" si="105"/>
        <v>-0.93792172739541158</v>
      </c>
      <c r="N162" s="53">
        <f t="shared" si="105"/>
        <v>-0.93792172739541158</v>
      </c>
    </row>
    <row r="163" spans="1:14" x14ac:dyDescent="0.3">
      <c r="A163" s="11" t="s">
        <v>138</v>
      </c>
      <c r="B163" s="51">
        <f>+Historicals!B174</f>
        <v>75</v>
      </c>
      <c r="C163" s="51">
        <f>+Historicals!C174</f>
        <v>84</v>
      </c>
      <c r="D163" s="51">
        <f>+Historicals!D174</f>
        <v>91</v>
      </c>
      <c r="E163" s="51">
        <f>+Historicals!E174</f>
        <v>110</v>
      </c>
      <c r="F163" s="51">
        <f>+Historicals!F174</f>
        <v>116</v>
      </c>
      <c r="G163" s="51">
        <f>+Historicals!G174</f>
        <v>112</v>
      </c>
      <c r="H163" s="51">
        <f>+Historicals!H174</f>
        <v>141</v>
      </c>
      <c r="I163" s="51">
        <f>+Historicals!I174</f>
        <v>134</v>
      </c>
      <c r="J163" s="10">
        <f>I163*(1+J164)</f>
        <v>134</v>
      </c>
      <c r="K163" s="10">
        <f>J163*(1+K164)</f>
        <v>134</v>
      </c>
      <c r="L163" s="10">
        <f>K163*(1+L164)</f>
        <v>134</v>
      </c>
      <c r="M163" s="10">
        <f>L163*(1+M164)</f>
        <v>134</v>
      </c>
      <c r="N163" s="10">
        <f>M163*(1+N164)</f>
        <v>134</v>
      </c>
    </row>
    <row r="164" spans="1:14" x14ac:dyDescent="0.3">
      <c r="A164" s="43" t="s">
        <v>134</v>
      </c>
      <c r="B164" s="45" t="s">
        <v>140</v>
      </c>
      <c r="C164" s="53">
        <f t="shared" ref="C164:I164" si="106">C163/B163-1</f>
        <v>0.12000000000000011</v>
      </c>
      <c r="D164" s="53">
        <f t="shared" si="106"/>
        <v>8.3333333333333259E-2</v>
      </c>
      <c r="E164" s="53">
        <f t="shared" si="106"/>
        <v>0.20879120879120872</v>
      </c>
      <c r="F164" s="53">
        <f t="shared" si="106"/>
        <v>5.4545454545454453E-2</v>
      </c>
      <c r="G164" s="53">
        <f t="shared" si="106"/>
        <v>-3.4482758620689613E-2</v>
      </c>
      <c r="H164" s="53">
        <f t="shared" si="106"/>
        <v>0.2589285714285714</v>
      </c>
      <c r="I164" s="53">
        <f t="shared" si="106"/>
        <v>-4.9645390070921946E-2</v>
      </c>
      <c r="J164" s="53">
        <v>0</v>
      </c>
      <c r="K164" s="53">
        <v>0</v>
      </c>
      <c r="L164" s="53">
        <v>0</v>
      </c>
      <c r="M164" s="53">
        <v>0</v>
      </c>
      <c r="N164" s="53">
        <v>0</v>
      </c>
    </row>
    <row r="165" spans="1:14" x14ac:dyDescent="0.3">
      <c r="A165" s="43" t="s">
        <v>141</v>
      </c>
      <c r="B165" s="53">
        <f t="shared" ref="B165:N165" si="107">B163/B146</f>
        <v>3.7840565085771945E-2</v>
      </c>
      <c r="C165" s="53">
        <f t="shared" si="107"/>
        <v>4.2966751918158567E-2</v>
      </c>
      <c r="D165" s="53">
        <f t="shared" si="107"/>
        <v>4.4564152791380998E-2</v>
      </c>
      <c r="E165" s="53">
        <f t="shared" si="107"/>
        <v>5.8324496288441142E-2</v>
      </c>
      <c r="F165" s="53">
        <f t="shared" si="107"/>
        <v>6.0860440713536204E-2</v>
      </c>
      <c r="G165" s="53">
        <f t="shared" si="107"/>
        <v>6.0671722643553631E-2</v>
      </c>
      <c r="H165" s="53">
        <f t="shared" si="107"/>
        <v>6.3945578231292516E-2</v>
      </c>
      <c r="I165" s="53">
        <f t="shared" si="107"/>
        <v>5.7118499573742543E-2</v>
      </c>
      <c r="J165" s="53">
        <f t="shared" si="107"/>
        <v>6.0278902384165542E-2</v>
      </c>
      <c r="K165" s="53">
        <f t="shared" si="107"/>
        <v>6.0278902384165542E-2</v>
      </c>
      <c r="L165" s="53">
        <f t="shared" si="107"/>
        <v>6.0278902384165542E-2</v>
      </c>
      <c r="M165" s="53">
        <f t="shared" si="107"/>
        <v>6.0278902384165542E-2</v>
      </c>
      <c r="N165" s="53">
        <f t="shared" si="107"/>
        <v>6.0278902384165542E-2</v>
      </c>
    </row>
    <row r="166" spans="1:14" x14ac:dyDescent="0.3">
      <c r="A166" s="43" t="s">
        <v>151</v>
      </c>
      <c r="B166" s="53">
        <f t="shared" ref="B166:N166" si="108">B163/B173</f>
        <v>0.10518934081346423</v>
      </c>
      <c r="C166" s="53">
        <f t="shared" si="108"/>
        <v>8.9647812166488788E-2</v>
      </c>
      <c r="D166" s="53">
        <f t="shared" si="108"/>
        <v>7.3505654281098551E-2</v>
      </c>
      <c r="E166" s="53">
        <f t="shared" si="108"/>
        <v>7.586206896551724E-2</v>
      </c>
      <c r="F166" s="53">
        <f t="shared" si="108"/>
        <v>6.9336521219366412E-2</v>
      </c>
      <c r="G166" s="53">
        <f t="shared" si="108"/>
        <v>5.845511482254697E-2</v>
      </c>
      <c r="H166" s="53">
        <f t="shared" si="108"/>
        <v>7.5401069518716571E-2</v>
      </c>
      <c r="I166" s="53">
        <f t="shared" si="108"/>
        <v>7.374793615850303E-2</v>
      </c>
      <c r="J166" s="53">
        <f t="shared" si="108"/>
        <v>7.374793615850303E-2</v>
      </c>
      <c r="K166" s="53">
        <f t="shared" si="108"/>
        <v>7.374793615850303E-2</v>
      </c>
      <c r="L166" s="53">
        <f t="shared" si="108"/>
        <v>7.374793615850303E-2</v>
      </c>
      <c r="M166" s="53">
        <f t="shared" si="108"/>
        <v>7.374793615850303E-2</v>
      </c>
      <c r="N166" s="53">
        <f t="shared" si="108"/>
        <v>7.374793615850303E-2</v>
      </c>
    </row>
    <row r="167" spans="1:14" x14ac:dyDescent="0.3">
      <c r="A167" s="11" t="s">
        <v>142</v>
      </c>
      <c r="B167" s="51">
        <f>+Historicals!B141</f>
        <v>-1097</v>
      </c>
      <c r="C167" s="51">
        <f>+Historicals!C141</f>
        <v>-1173</v>
      </c>
      <c r="D167" s="51">
        <f>+Historicals!D141</f>
        <v>-724</v>
      </c>
      <c r="E167" s="51">
        <f>+Historicals!E141</f>
        <v>-1456</v>
      </c>
      <c r="F167" s="51">
        <f>+Historicals!F141</f>
        <v>-1810</v>
      </c>
      <c r="G167" s="51">
        <f>+Historicals!G141</f>
        <v>-1967</v>
      </c>
      <c r="H167" s="51">
        <f>+Historicals!H141</f>
        <v>-2261</v>
      </c>
      <c r="I167" s="51">
        <f>+Historicals!I141</f>
        <v>-2219</v>
      </c>
      <c r="J167" s="10">
        <f>I167*(1+J168)</f>
        <v>-2219</v>
      </c>
      <c r="K167" s="10">
        <f>J167*(1+K168)</f>
        <v>-2219</v>
      </c>
      <c r="L167" s="10">
        <f>K167*(1+L168)</f>
        <v>-2219</v>
      </c>
      <c r="M167" s="10">
        <f>L167*(1+M168)</f>
        <v>-2219</v>
      </c>
      <c r="N167" s="10">
        <f>M167*(1+N168)</f>
        <v>-2219</v>
      </c>
    </row>
    <row r="168" spans="1:14" x14ac:dyDescent="0.3">
      <c r="A168" s="43" t="s">
        <v>134</v>
      </c>
      <c r="B168" s="45" t="s">
        <v>140</v>
      </c>
      <c r="C168" s="53">
        <f t="shared" ref="C168:I168" si="109">C167/B167-1</f>
        <v>6.9279854147675568E-2</v>
      </c>
      <c r="D168" s="53">
        <f t="shared" si="109"/>
        <v>-0.38277919863597609</v>
      </c>
      <c r="E168" s="53">
        <f t="shared" si="109"/>
        <v>1.0110497237569063</v>
      </c>
      <c r="F168" s="53">
        <f t="shared" si="109"/>
        <v>0.24313186813186816</v>
      </c>
      <c r="G168" s="53">
        <f t="shared" si="109"/>
        <v>8.6740331491712785E-2</v>
      </c>
      <c r="H168" s="53">
        <f t="shared" si="109"/>
        <v>0.14946619217081847</v>
      </c>
      <c r="I168" s="53">
        <f t="shared" si="109"/>
        <v>-1.8575851393188847E-2</v>
      </c>
      <c r="J168" s="53">
        <v>0</v>
      </c>
      <c r="K168" s="53">
        <v>0</v>
      </c>
      <c r="L168" s="53">
        <v>0</v>
      </c>
      <c r="M168" s="53">
        <v>0</v>
      </c>
      <c r="N168" s="53">
        <v>0</v>
      </c>
    </row>
    <row r="169" spans="1:14" x14ac:dyDescent="0.3">
      <c r="A169" s="43" t="s">
        <v>137</v>
      </c>
      <c r="B169" s="53">
        <f t="shared" ref="B169:N169" si="110">B167/B146</f>
        <v>-0.55348133198789107</v>
      </c>
      <c r="C169" s="53">
        <f t="shared" si="110"/>
        <v>-0.6</v>
      </c>
      <c r="D169" s="53">
        <f t="shared" si="110"/>
        <v>-0.35455435847208622</v>
      </c>
      <c r="E169" s="53">
        <f t="shared" si="110"/>
        <v>-0.77200424178154825</v>
      </c>
      <c r="F169" s="53">
        <f t="shared" si="110"/>
        <v>-0.94963273871983211</v>
      </c>
      <c r="G169" s="53">
        <f t="shared" si="110"/>
        <v>-1.0655471289274105</v>
      </c>
      <c r="H169" s="53">
        <f t="shared" si="110"/>
        <v>-1.0253968253968253</v>
      </c>
      <c r="I169" s="53">
        <f t="shared" si="110"/>
        <v>-0.94586530264279622</v>
      </c>
      <c r="J169" s="53">
        <f t="shared" si="110"/>
        <v>-0.99820062977957713</v>
      </c>
      <c r="K169" s="53">
        <f t="shared" si="110"/>
        <v>-0.99820062977957713</v>
      </c>
      <c r="L169" s="53">
        <f t="shared" si="110"/>
        <v>-0.99820062977957713</v>
      </c>
      <c r="M169" s="53">
        <f t="shared" si="110"/>
        <v>-0.99820062977957713</v>
      </c>
      <c r="N169" s="53">
        <f t="shared" si="110"/>
        <v>-0.99820062977957713</v>
      </c>
    </row>
    <row r="170" spans="1:14" x14ac:dyDescent="0.3">
      <c r="A170" s="11" t="s">
        <v>144</v>
      </c>
      <c r="B170" s="51">
        <v>69</v>
      </c>
      <c r="C170" s="51">
        <v>39</v>
      </c>
      <c r="D170" s="51">
        <v>30</v>
      </c>
      <c r="E170" s="51">
        <v>22</v>
      </c>
      <c r="F170" s="51">
        <v>18</v>
      </c>
      <c r="G170" s="51">
        <v>12</v>
      </c>
      <c r="H170" s="51">
        <v>7</v>
      </c>
      <c r="I170" s="51">
        <v>9</v>
      </c>
      <c r="J170" s="10">
        <f>I170*(1+J171)</f>
        <v>9</v>
      </c>
      <c r="K170" s="10">
        <f>J170*(1+K171)</f>
        <v>9</v>
      </c>
      <c r="L170" s="10">
        <f>K170*(1+L171)</f>
        <v>9</v>
      </c>
      <c r="M170" s="10">
        <f>L170*(1+M171)</f>
        <v>9</v>
      </c>
      <c r="N170" s="10">
        <f>M170*(1+N171)</f>
        <v>9</v>
      </c>
    </row>
    <row r="171" spans="1:14" x14ac:dyDescent="0.3">
      <c r="A171" s="43" t="s">
        <v>134</v>
      </c>
      <c r="B171" s="45" t="s">
        <v>140</v>
      </c>
      <c r="C171" s="53">
        <f t="shared" ref="C171:I171" si="111">C170/B170-1</f>
        <v>-0.43478260869565222</v>
      </c>
      <c r="D171" s="53">
        <f t="shared" si="111"/>
        <v>-0.23076923076923073</v>
      </c>
      <c r="E171" s="53">
        <f t="shared" si="111"/>
        <v>-0.26666666666666672</v>
      </c>
      <c r="F171" s="53">
        <f t="shared" si="111"/>
        <v>-0.18181818181818177</v>
      </c>
      <c r="G171" s="53">
        <f t="shared" si="111"/>
        <v>-0.33333333333333337</v>
      </c>
      <c r="H171" s="53">
        <f t="shared" si="111"/>
        <v>-0.41666666666666663</v>
      </c>
      <c r="I171" s="53">
        <f t="shared" si="111"/>
        <v>0.28571428571428581</v>
      </c>
      <c r="J171" s="53">
        <v>0</v>
      </c>
      <c r="K171" s="53">
        <v>0</v>
      </c>
      <c r="L171" s="53">
        <v>0</v>
      </c>
      <c r="M171" s="53">
        <v>0</v>
      </c>
      <c r="N171" s="53">
        <v>0</v>
      </c>
    </row>
    <row r="172" spans="1:14" x14ac:dyDescent="0.3">
      <c r="A172" s="43" t="s">
        <v>141</v>
      </c>
      <c r="B172" s="53">
        <f t="shared" ref="B172:N172" si="112">B170/B146</f>
        <v>3.481331987891019E-2</v>
      </c>
      <c r="C172" s="53">
        <f t="shared" si="112"/>
        <v>1.9948849104859334E-2</v>
      </c>
      <c r="D172" s="53">
        <f t="shared" si="112"/>
        <v>1.4691478942213516E-2</v>
      </c>
      <c r="E172" s="53">
        <f t="shared" si="112"/>
        <v>1.166489925768823E-2</v>
      </c>
      <c r="F172" s="53">
        <f t="shared" si="112"/>
        <v>9.4438614900314802E-3</v>
      </c>
      <c r="G172" s="53">
        <f t="shared" si="112"/>
        <v>6.5005417118093175E-3</v>
      </c>
      <c r="H172" s="53">
        <f t="shared" si="112"/>
        <v>3.1746031746031746E-3</v>
      </c>
      <c r="I172" s="53">
        <f t="shared" si="112"/>
        <v>3.8363171355498722E-3</v>
      </c>
      <c r="J172" s="53">
        <f t="shared" si="112"/>
        <v>4.048582995951417E-3</v>
      </c>
      <c r="K172" s="53">
        <f t="shared" si="112"/>
        <v>4.048582995951417E-3</v>
      </c>
      <c r="L172" s="53">
        <f t="shared" si="112"/>
        <v>4.048582995951417E-3</v>
      </c>
      <c r="M172" s="53">
        <f t="shared" si="112"/>
        <v>4.048582995951417E-3</v>
      </c>
      <c r="N172" s="53">
        <f t="shared" si="112"/>
        <v>4.048582995951417E-3</v>
      </c>
    </row>
    <row r="173" spans="1:14" x14ac:dyDescent="0.3">
      <c r="A173" s="11" t="s">
        <v>146</v>
      </c>
      <c r="B173" s="51">
        <f>+Historicals!B152</f>
        <v>713</v>
      </c>
      <c r="C173" s="51">
        <f>+Historicals!C152</f>
        <v>937</v>
      </c>
      <c r="D173" s="51">
        <f>+Historicals!D152</f>
        <v>1238</v>
      </c>
      <c r="E173" s="51">
        <f>+Historicals!E152</f>
        <v>1450</v>
      </c>
      <c r="F173" s="51">
        <f>+Historicals!F152</f>
        <v>1673</v>
      </c>
      <c r="G173" s="51">
        <f>+Historicals!G152</f>
        <v>1916</v>
      </c>
      <c r="H173" s="51">
        <f>+Historicals!H152</f>
        <v>1870</v>
      </c>
      <c r="I173" s="51">
        <f>+Historicals!I152</f>
        <v>1817</v>
      </c>
      <c r="J173" s="10">
        <f>I173*(1+J174)</f>
        <v>1817</v>
      </c>
      <c r="K173" s="10">
        <f>J173*(1+K174)</f>
        <v>1817</v>
      </c>
      <c r="L173" s="10">
        <f>K173*(1+L174)</f>
        <v>1817</v>
      </c>
      <c r="M173" s="10">
        <f>L173*(1+M174)</f>
        <v>1817</v>
      </c>
      <c r="N173" s="10">
        <f>M173*(1+N174)</f>
        <v>1817</v>
      </c>
    </row>
    <row r="174" spans="1:14" x14ac:dyDescent="0.3">
      <c r="A174" s="43" t="s">
        <v>134</v>
      </c>
      <c r="B174" s="45" t="s">
        <v>140</v>
      </c>
      <c r="C174" s="53">
        <f t="shared" ref="C174:I174" si="113">C173/B173-1</f>
        <v>0.31416549789621318</v>
      </c>
      <c r="D174" s="53">
        <f t="shared" si="113"/>
        <v>0.32123799359658478</v>
      </c>
      <c r="E174" s="53">
        <f t="shared" si="113"/>
        <v>0.17124394184168024</v>
      </c>
      <c r="F174" s="53">
        <f t="shared" si="113"/>
        <v>0.15379310344827579</v>
      </c>
      <c r="G174" s="53">
        <f t="shared" si="113"/>
        <v>0.14524805738194857</v>
      </c>
      <c r="H174" s="53">
        <f t="shared" si="113"/>
        <v>-2.4008350730688965E-2</v>
      </c>
      <c r="I174" s="53">
        <f t="shared" si="113"/>
        <v>-2.8342245989304793E-2</v>
      </c>
      <c r="J174" s="53">
        <v>0</v>
      </c>
      <c r="K174" s="53">
        <v>0</v>
      </c>
      <c r="L174" s="53">
        <v>0</v>
      </c>
      <c r="M174" s="53">
        <v>0</v>
      </c>
      <c r="N174" s="53">
        <v>0</v>
      </c>
    </row>
    <row r="175" spans="1:14" x14ac:dyDescent="0.3">
      <c r="A175" s="43" t="s">
        <v>141</v>
      </c>
      <c r="B175" s="53">
        <f t="shared" ref="B175:N175" si="114">B173/B146</f>
        <v>0.35973763874873865</v>
      </c>
      <c r="C175" s="53">
        <f t="shared" si="114"/>
        <v>0.47928388746803069</v>
      </c>
      <c r="D175" s="53">
        <f t="shared" si="114"/>
        <v>0.60626836434867781</v>
      </c>
      <c r="E175" s="53">
        <f t="shared" si="114"/>
        <v>0.7688229056203606</v>
      </c>
      <c r="F175" s="53">
        <f t="shared" si="114"/>
        <v>0.8777544596012592</v>
      </c>
      <c r="G175" s="53">
        <f t="shared" si="114"/>
        <v>1.0379198266522209</v>
      </c>
      <c r="H175" s="53">
        <f t="shared" si="114"/>
        <v>0.84807256235827666</v>
      </c>
      <c r="I175" s="53">
        <f t="shared" si="114"/>
        <v>0.77450980392156865</v>
      </c>
      <c r="J175" s="53">
        <f t="shared" si="114"/>
        <v>0.81736392262708057</v>
      </c>
      <c r="K175" s="53">
        <f t="shared" si="114"/>
        <v>0.81736392262708057</v>
      </c>
      <c r="L175" s="53">
        <f t="shared" si="114"/>
        <v>0.81736392262708057</v>
      </c>
      <c r="M175" s="53">
        <f t="shared" si="114"/>
        <v>0.81736392262708057</v>
      </c>
      <c r="N175" s="53">
        <f t="shared" si="114"/>
        <v>0.81736392262708057</v>
      </c>
    </row>
    <row r="176" spans="1:14" x14ac:dyDescent="0.3">
      <c r="A176" s="47" t="s">
        <v>112</v>
      </c>
      <c r="B176" s="47"/>
      <c r="C176" s="47"/>
      <c r="D176" s="47"/>
      <c r="E176" s="47"/>
      <c r="F176" s="47"/>
      <c r="G176" s="47"/>
      <c r="H176" s="47"/>
      <c r="I176" s="47"/>
      <c r="J176" s="41"/>
      <c r="K176" s="41"/>
      <c r="L176" s="41"/>
      <c r="M176" s="41"/>
      <c r="N176" s="41"/>
    </row>
    <row r="177" spans="1:14" x14ac:dyDescent="0.3">
      <c r="A177" s="11" t="s">
        <v>148</v>
      </c>
      <c r="B177" s="51">
        <f>+Historicals!B123</f>
        <v>115</v>
      </c>
      <c r="C177" s="51">
        <f>+Historicals!C123</f>
        <v>73</v>
      </c>
      <c r="D177" s="51">
        <f>+Historicals!D123</f>
        <v>73</v>
      </c>
      <c r="E177" s="51">
        <f>+Historicals!E123</f>
        <v>88</v>
      </c>
      <c r="F177" s="51">
        <f>+Historicals!F123</f>
        <v>42</v>
      </c>
      <c r="G177" s="51">
        <f>+Historicals!G123</f>
        <v>30</v>
      </c>
      <c r="H177" s="51">
        <f>+Historicals!H123</f>
        <v>25</v>
      </c>
      <c r="I177" s="51">
        <f>+Historicals!I123</f>
        <v>102</v>
      </c>
      <c r="J177" s="10">
        <f>I177*(1+J178)</f>
        <v>102</v>
      </c>
      <c r="K177" s="10">
        <f>J177*(1+K178)</f>
        <v>102</v>
      </c>
      <c r="L177" s="10">
        <f>K177*(1+L178)</f>
        <v>102</v>
      </c>
      <c r="M177" s="10">
        <f>L177*(1+M178)</f>
        <v>102</v>
      </c>
      <c r="N177" s="10">
        <f>M177*(1+N178)</f>
        <v>102</v>
      </c>
    </row>
    <row r="178" spans="1:14" x14ac:dyDescent="0.3">
      <c r="A178" s="48" t="s">
        <v>134</v>
      </c>
      <c r="B178" s="52">
        <f>+Historicals!B195</f>
        <v>-0.08</v>
      </c>
      <c r="C178" s="52">
        <f>+Historicals!C195</f>
        <v>-0.36521739130434783</v>
      </c>
      <c r="D178" s="52">
        <f>+Historicals!D195</f>
        <v>0</v>
      </c>
      <c r="E178" s="52">
        <f>+Historicals!E195</f>
        <v>0.20547945205479451</v>
      </c>
      <c r="F178" s="52">
        <f>+Historicals!F195</f>
        <v>-0.52272727272727271</v>
      </c>
      <c r="G178" s="52">
        <f>+Historicals!G195</f>
        <v>-0.2857142857142857</v>
      </c>
      <c r="H178" s="52">
        <f>+Historicals!H195</f>
        <v>-0.16666666666666666</v>
      </c>
      <c r="I178" s="52">
        <f>+Historicals!I195</f>
        <v>3.02</v>
      </c>
      <c r="J178" s="53">
        <v>0</v>
      </c>
      <c r="K178" s="53">
        <v>0</v>
      </c>
      <c r="L178" s="53">
        <v>0</v>
      </c>
      <c r="M178" s="53">
        <v>0</v>
      </c>
      <c r="N178" s="53">
        <v>0</v>
      </c>
    </row>
    <row r="179" spans="1:14" x14ac:dyDescent="0.3">
      <c r="A179" s="11" t="s">
        <v>135</v>
      </c>
      <c r="B179" s="10">
        <f t="shared" ref="B179:I179" si="115">B186+B182</f>
        <v>-2057</v>
      </c>
      <c r="C179" s="10">
        <f t="shared" si="115"/>
        <v>-2366</v>
      </c>
      <c r="D179" s="10">
        <f t="shared" si="115"/>
        <v>-2444</v>
      </c>
      <c r="E179" s="10">
        <f t="shared" si="115"/>
        <v>-2441</v>
      </c>
      <c r="F179" s="10">
        <f t="shared" si="115"/>
        <v>-3067</v>
      </c>
      <c r="G179" s="10">
        <f t="shared" si="115"/>
        <v>-3254</v>
      </c>
      <c r="H179" s="10">
        <f t="shared" si="115"/>
        <v>-3434</v>
      </c>
      <c r="I179" s="10">
        <f t="shared" si="115"/>
        <v>-4042</v>
      </c>
      <c r="J179" s="10">
        <f>I179*(1+J180)</f>
        <v>-4042</v>
      </c>
      <c r="K179" s="10">
        <f>J179*(1+K180)</f>
        <v>-4042</v>
      </c>
      <c r="L179" s="10">
        <f>K179*(1+L180)</f>
        <v>-4042</v>
      </c>
      <c r="M179" s="10">
        <f>L179*(1+M180)</f>
        <v>-4042</v>
      </c>
      <c r="N179" s="10">
        <f>M179*(1+N180)</f>
        <v>-4042</v>
      </c>
    </row>
    <row r="180" spans="1:14" x14ac:dyDescent="0.3">
      <c r="A180" s="43" t="s">
        <v>134</v>
      </c>
      <c r="B180" s="45" t="s">
        <v>140</v>
      </c>
      <c r="C180" s="53">
        <f t="shared" ref="C180:I180" si="116">C179/B179-1</f>
        <v>0.15021876519202726</v>
      </c>
      <c r="D180" s="53">
        <f t="shared" si="116"/>
        <v>3.2967032967033072E-2</v>
      </c>
      <c r="E180" s="53">
        <f t="shared" si="116"/>
        <v>-1.2274959083469206E-3</v>
      </c>
      <c r="F180" s="53">
        <f t="shared" si="116"/>
        <v>0.25645227365833678</v>
      </c>
      <c r="G180" s="53">
        <f t="shared" si="116"/>
        <v>6.0971633518095869E-2</v>
      </c>
      <c r="H180" s="53">
        <f t="shared" si="116"/>
        <v>5.5316533497234088E-2</v>
      </c>
      <c r="I180" s="53">
        <f t="shared" si="116"/>
        <v>0.1770529994175889</v>
      </c>
      <c r="J180" s="53">
        <v>0</v>
      </c>
      <c r="K180" s="53">
        <v>0</v>
      </c>
      <c r="L180" s="53">
        <v>0</v>
      </c>
      <c r="M180" s="53">
        <v>0</v>
      </c>
      <c r="N180" s="53">
        <v>0</v>
      </c>
    </row>
    <row r="181" spans="1:14" x14ac:dyDescent="0.3">
      <c r="A181" s="43" t="s">
        <v>137</v>
      </c>
      <c r="B181" s="53">
        <f t="shared" ref="B181:N181" si="117">B179/B177</f>
        <v>-17.88695652173913</v>
      </c>
      <c r="C181" s="53">
        <f t="shared" si="117"/>
        <v>-32.410958904109592</v>
      </c>
      <c r="D181" s="53">
        <f t="shared" si="117"/>
        <v>-33.479452054794521</v>
      </c>
      <c r="E181" s="53">
        <f t="shared" si="117"/>
        <v>-27.738636363636363</v>
      </c>
      <c r="F181" s="53">
        <f t="shared" si="117"/>
        <v>-73.023809523809518</v>
      </c>
      <c r="G181" s="53">
        <f t="shared" si="117"/>
        <v>-108.46666666666667</v>
      </c>
      <c r="H181" s="53">
        <f t="shared" si="117"/>
        <v>-137.36000000000001</v>
      </c>
      <c r="I181" s="53">
        <f t="shared" si="117"/>
        <v>-39.627450980392155</v>
      </c>
      <c r="J181" s="53">
        <f t="shared" si="117"/>
        <v>-39.627450980392155</v>
      </c>
      <c r="K181" s="53">
        <f t="shared" si="117"/>
        <v>-39.627450980392155</v>
      </c>
      <c r="L181" s="53">
        <f t="shared" si="117"/>
        <v>-39.627450980392155</v>
      </c>
      <c r="M181" s="53">
        <f t="shared" si="117"/>
        <v>-39.627450980392155</v>
      </c>
      <c r="N181" s="53">
        <f t="shared" si="117"/>
        <v>-39.627450980392155</v>
      </c>
    </row>
    <row r="182" spans="1:14" x14ac:dyDescent="0.3">
      <c r="A182" s="11" t="s">
        <v>138</v>
      </c>
      <c r="B182" s="51">
        <f>+Historicals!B171</f>
        <v>210</v>
      </c>
      <c r="C182" s="51">
        <f>+Historicals!C171</f>
        <v>230</v>
      </c>
      <c r="D182" s="51">
        <f>+Historicals!D171</f>
        <v>233</v>
      </c>
      <c r="E182" s="51">
        <f>+Historicals!E171</f>
        <v>217</v>
      </c>
      <c r="F182" s="51">
        <f>+Historicals!F171</f>
        <v>195</v>
      </c>
      <c r="G182" s="51">
        <f>+Historicals!G171</f>
        <v>214</v>
      </c>
      <c r="H182" s="51">
        <f>+Historicals!H171</f>
        <v>222</v>
      </c>
      <c r="I182" s="51">
        <f>+Historicals!I171</f>
        <v>220</v>
      </c>
      <c r="J182" s="10">
        <f>I182*(1+J183)</f>
        <v>220</v>
      </c>
      <c r="K182" s="10">
        <f>J182*(1+K183)</f>
        <v>220</v>
      </c>
      <c r="L182" s="10">
        <f>K182*(1+L183)</f>
        <v>220</v>
      </c>
      <c r="M182" s="10">
        <f>L182*(1+M183)</f>
        <v>220</v>
      </c>
      <c r="N182" s="10">
        <f>M182*(1+N183)</f>
        <v>220</v>
      </c>
    </row>
    <row r="183" spans="1:14" x14ac:dyDescent="0.3">
      <c r="A183" s="43" t="s">
        <v>134</v>
      </c>
      <c r="B183" s="45" t="s">
        <v>140</v>
      </c>
      <c r="C183" s="53">
        <f t="shared" ref="C183:I183" si="118">C182/B182-1</f>
        <v>9.5238095238095344E-2</v>
      </c>
      <c r="D183" s="53">
        <f t="shared" si="118"/>
        <v>1.304347826086949E-2</v>
      </c>
      <c r="E183" s="53">
        <f t="shared" si="118"/>
        <v>-6.8669527896995763E-2</v>
      </c>
      <c r="F183" s="53">
        <f t="shared" si="118"/>
        <v>-0.10138248847926268</v>
      </c>
      <c r="G183" s="53">
        <f t="shared" si="118"/>
        <v>9.7435897435897534E-2</v>
      </c>
      <c r="H183" s="53">
        <f t="shared" si="118"/>
        <v>3.7383177570093462E-2</v>
      </c>
      <c r="I183" s="53">
        <f t="shared" si="118"/>
        <v>-9.009009009009028E-3</v>
      </c>
      <c r="J183" s="53">
        <v>0</v>
      </c>
      <c r="K183" s="53">
        <v>0</v>
      </c>
      <c r="L183" s="53">
        <v>0</v>
      </c>
      <c r="M183" s="53">
        <v>0</v>
      </c>
      <c r="N183" s="53">
        <v>0</v>
      </c>
    </row>
    <row r="184" spans="1:14" x14ac:dyDescent="0.3">
      <c r="A184" s="43" t="s">
        <v>141</v>
      </c>
      <c r="B184" s="53">
        <f t="shared" ref="B184:N184" si="119">B182/B177</f>
        <v>1.826086956521739</v>
      </c>
      <c r="C184" s="53">
        <f t="shared" si="119"/>
        <v>3.1506849315068495</v>
      </c>
      <c r="D184" s="53">
        <f t="shared" si="119"/>
        <v>3.1917808219178081</v>
      </c>
      <c r="E184" s="53">
        <f t="shared" si="119"/>
        <v>2.4659090909090908</v>
      </c>
      <c r="F184" s="53">
        <f t="shared" si="119"/>
        <v>4.6428571428571432</v>
      </c>
      <c r="G184" s="53">
        <f t="shared" si="119"/>
        <v>7.1333333333333337</v>
      </c>
      <c r="H184" s="53">
        <f t="shared" si="119"/>
        <v>8.8800000000000008</v>
      </c>
      <c r="I184" s="53">
        <f t="shared" si="119"/>
        <v>2.1568627450980391</v>
      </c>
      <c r="J184" s="53">
        <f t="shared" si="119"/>
        <v>2.1568627450980391</v>
      </c>
      <c r="K184" s="53">
        <f t="shared" si="119"/>
        <v>2.1568627450980391</v>
      </c>
      <c r="L184" s="53">
        <f t="shared" si="119"/>
        <v>2.1568627450980391</v>
      </c>
      <c r="M184" s="53">
        <f t="shared" si="119"/>
        <v>2.1568627450980391</v>
      </c>
      <c r="N184" s="53">
        <f t="shared" si="119"/>
        <v>2.1568627450980391</v>
      </c>
    </row>
    <row r="185" spans="1:14" x14ac:dyDescent="0.3">
      <c r="A185" s="43" t="s">
        <v>151</v>
      </c>
      <c r="B185" s="53">
        <f t="shared" ref="B185:N185" si="120">B182/B192</f>
        <v>0.43388429752066116</v>
      </c>
      <c r="C185" s="53">
        <f t="shared" si="120"/>
        <v>0.45009784735812131</v>
      </c>
      <c r="D185" s="53">
        <f t="shared" si="120"/>
        <v>0.43714821763602252</v>
      </c>
      <c r="E185" s="53">
        <f t="shared" si="120"/>
        <v>0.36348408710217756</v>
      </c>
      <c r="F185" s="53">
        <f t="shared" si="120"/>
        <v>0.2932330827067669</v>
      </c>
      <c r="G185" s="53">
        <f t="shared" si="120"/>
        <v>0.25783132530120484</v>
      </c>
      <c r="H185" s="53">
        <f t="shared" si="120"/>
        <v>0.2846153846153846</v>
      </c>
      <c r="I185" s="53">
        <f t="shared" si="120"/>
        <v>0.27883396704689478</v>
      </c>
      <c r="J185" s="53">
        <f t="shared" si="120"/>
        <v>0.27883396704689478</v>
      </c>
      <c r="K185" s="53">
        <f t="shared" si="120"/>
        <v>0.27883396704689478</v>
      </c>
      <c r="L185" s="53">
        <f t="shared" si="120"/>
        <v>0.27883396704689478</v>
      </c>
      <c r="M185" s="53">
        <f t="shared" si="120"/>
        <v>0.27883396704689478</v>
      </c>
      <c r="N185" s="53">
        <f t="shared" si="120"/>
        <v>0.27883396704689478</v>
      </c>
    </row>
    <row r="186" spans="1:14" x14ac:dyDescent="0.3">
      <c r="A186" s="11" t="s">
        <v>142</v>
      </c>
      <c r="B186" s="51">
        <f>+Historicals!B138</f>
        <v>-2267</v>
      </c>
      <c r="C186" s="51">
        <f>+Historicals!C138</f>
        <v>-2596</v>
      </c>
      <c r="D186" s="51">
        <f>+Historicals!D138</f>
        <v>-2677</v>
      </c>
      <c r="E186" s="51">
        <f>+Historicals!E138</f>
        <v>-2658</v>
      </c>
      <c r="F186" s="51">
        <f>+Historicals!F138</f>
        <v>-3262</v>
      </c>
      <c r="G186" s="51">
        <f>+Historicals!G138</f>
        <v>-3468</v>
      </c>
      <c r="H186" s="51">
        <f>+Historicals!H138</f>
        <v>-3656</v>
      </c>
      <c r="I186" s="51">
        <f>+Historicals!I138</f>
        <v>-4262</v>
      </c>
      <c r="J186" s="10">
        <f>I186*(1+J187)</f>
        <v>-4262</v>
      </c>
      <c r="K186" s="10">
        <f>J186*(1+K187)</f>
        <v>-4262</v>
      </c>
      <c r="L186" s="10">
        <f>K186*(1+L187)</f>
        <v>-4262</v>
      </c>
      <c r="M186" s="10">
        <f>L186*(1+M187)</f>
        <v>-4262</v>
      </c>
      <c r="N186" s="10">
        <f>M186*(1+N187)</f>
        <v>-4262</v>
      </c>
    </row>
    <row r="187" spans="1:14" x14ac:dyDescent="0.3">
      <c r="A187" s="43" t="s">
        <v>134</v>
      </c>
      <c r="B187" s="45" t="s">
        <v>140</v>
      </c>
      <c r="C187" s="53">
        <f t="shared" ref="C187:I187" si="121">C186/B186-1</f>
        <v>0.145125716806352</v>
      </c>
      <c r="D187" s="53">
        <f t="shared" si="121"/>
        <v>3.1201848998459125E-2</v>
      </c>
      <c r="E187" s="53">
        <f t="shared" si="121"/>
        <v>-7.097497198356395E-3</v>
      </c>
      <c r="F187" s="53">
        <f t="shared" si="121"/>
        <v>0.22723852520692245</v>
      </c>
      <c r="G187" s="53">
        <f t="shared" si="121"/>
        <v>6.3151440833844275E-2</v>
      </c>
      <c r="H187" s="53">
        <f t="shared" si="121"/>
        <v>5.4209919261822392E-2</v>
      </c>
      <c r="I187" s="53">
        <f t="shared" si="121"/>
        <v>0.16575492341356668</v>
      </c>
      <c r="J187" s="53">
        <v>0</v>
      </c>
      <c r="K187" s="53">
        <v>0</v>
      </c>
      <c r="L187" s="53">
        <v>0</v>
      </c>
      <c r="M187" s="53">
        <v>0</v>
      </c>
      <c r="N187" s="53">
        <v>0</v>
      </c>
    </row>
    <row r="188" spans="1:14" x14ac:dyDescent="0.3">
      <c r="A188" s="43" t="s">
        <v>137</v>
      </c>
      <c r="B188" s="53">
        <f t="shared" ref="B188:N188" si="122">B186/B177</f>
        <v>-19.713043478260868</v>
      </c>
      <c r="C188" s="53">
        <f t="shared" si="122"/>
        <v>-35.561643835616437</v>
      </c>
      <c r="D188" s="53">
        <f t="shared" si="122"/>
        <v>-36.671232876712331</v>
      </c>
      <c r="E188" s="53">
        <f t="shared" si="122"/>
        <v>-30.204545454545453</v>
      </c>
      <c r="F188" s="53">
        <f t="shared" si="122"/>
        <v>-77.666666666666671</v>
      </c>
      <c r="G188" s="53">
        <f t="shared" si="122"/>
        <v>-115.6</v>
      </c>
      <c r="H188" s="53">
        <f t="shared" si="122"/>
        <v>-146.24</v>
      </c>
      <c r="I188" s="53">
        <f t="shared" si="122"/>
        <v>-41.784313725490193</v>
      </c>
      <c r="J188" s="53">
        <f t="shared" si="122"/>
        <v>-41.784313725490193</v>
      </c>
      <c r="K188" s="53">
        <f t="shared" si="122"/>
        <v>-41.784313725490193</v>
      </c>
      <c r="L188" s="53">
        <f t="shared" si="122"/>
        <v>-41.784313725490193</v>
      </c>
      <c r="M188" s="53">
        <f t="shared" si="122"/>
        <v>-41.784313725490193</v>
      </c>
      <c r="N188" s="53">
        <f t="shared" si="122"/>
        <v>-41.784313725490193</v>
      </c>
    </row>
    <row r="189" spans="1:14" x14ac:dyDescent="0.3">
      <c r="A189" s="11" t="s">
        <v>144</v>
      </c>
      <c r="B189" s="51">
        <v>225</v>
      </c>
      <c r="C189" s="51">
        <v>258</v>
      </c>
      <c r="D189" s="51">
        <v>278</v>
      </c>
      <c r="E189" s="51">
        <v>286</v>
      </c>
      <c r="F189" s="51">
        <v>278</v>
      </c>
      <c r="G189" s="51">
        <v>438</v>
      </c>
      <c r="H189" s="51">
        <v>278</v>
      </c>
      <c r="I189" s="51">
        <v>222</v>
      </c>
      <c r="J189" s="10">
        <f>I189*(1+J190)</f>
        <v>222</v>
      </c>
      <c r="K189" s="10">
        <f>J189*(1+K190)</f>
        <v>222</v>
      </c>
      <c r="L189" s="10">
        <f>K189*(1+L190)</f>
        <v>222</v>
      </c>
      <c r="M189" s="10">
        <f>L189*(1+M190)</f>
        <v>222</v>
      </c>
      <c r="N189" s="10">
        <f>M189*(1+N190)</f>
        <v>222</v>
      </c>
    </row>
    <row r="190" spans="1:14" x14ac:dyDescent="0.3">
      <c r="A190" s="43" t="s">
        <v>134</v>
      </c>
      <c r="B190" s="45" t="s">
        <v>140</v>
      </c>
      <c r="C190" s="53">
        <f t="shared" ref="C190:I190" si="123">C189/B189-1</f>
        <v>0.14666666666666672</v>
      </c>
      <c r="D190" s="53">
        <f t="shared" si="123"/>
        <v>7.7519379844961156E-2</v>
      </c>
      <c r="E190" s="53">
        <f t="shared" si="123"/>
        <v>2.877697841726623E-2</v>
      </c>
      <c r="F190" s="53">
        <f t="shared" si="123"/>
        <v>-2.7972027972028024E-2</v>
      </c>
      <c r="G190" s="53">
        <f t="shared" si="123"/>
        <v>0.57553956834532372</v>
      </c>
      <c r="H190" s="53">
        <f t="shared" si="123"/>
        <v>-0.36529680365296802</v>
      </c>
      <c r="I190" s="53">
        <f t="shared" si="123"/>
        <v>-0.20143884892086328</v>
      </c>
      <c r="J190" s="53">
        <v>0</v>
      </c>
      <c r="K190" s="53">
        <v>0</v>
      </c>
      <c r="L190" s="53">
        <v>0</v>
      </c>
      <c r="M190" s="53">
        <v>0</v>
      </c>
      <c r="N190" s="53">
        <v>0</v>
      </c>
    </row>
    <row r="191" spans="1:14" x14ac:dyDescent="0.3">
      <c r="A191" s="43" t="s">
        <v>141</v>
      </c>
      <c r="B191" s="53">
        <f t="shared" ref="B191:N191" si="124">B189/B177</f>
        <v>1.9565217391304348</v>
      </c>
      <c r="C191" s="53">
        <f t="shared" si="124"/>
        <v>3.5342465753424657</v>
      </c>
      <c r="D191" s="53">
        <f t="shared" si="124"/>
        <v>3.8082191780821919</v>
      </c>
      <c r="E191" s="53">
        <f t="shared" si="124"/>
        <v>3.25</v>
      </c>
      <c r="F191" s="53">
        <f t="shared" si="124"/>
        <v>6.6190476190476186</v>
      </c>
      <c r="G191" s="53">
        <f t="shared" si="124"/>
        <v>14.6</v>
      </c>
      <c r="H191" s="53">
        <f t="shared" si="124"/>
        <v>11.12</v>
      </c>
      <c r="I191" s="53">
        <f t="shared" si="124"/>
        <v>2.1764705882352939</v>
      </c>
      <c r="J191" s="53">
        <f t="shared" si="124"/>
        <v>2.1764705882352939</v>
      </c>
      <c r="K191" s="53">
        <f t="shared" si="124"/>
        <v>2.1764705882352939</v>
      </c>
      <c r="L191" s="53">
        <f t="shared" si="124"/>
        <v>2.1764705882352939</v>
      </c>
      <c r="M191" s="53">
        <f t="shared" si="124"/>
        <v>2.1764705882352939</v>
      </c>
      <c r="N191" s="53">
        <f t="shared" si="124"/>
        <v>2.1764705882352939</v>
      </c>
    </row>
    <row r="192" spans="1:14" x14ac:dyDescent="0.3">
      <c r="A192" s="11" t="s">
        <v>146</v>
      </c>
      <c r="B192" s="51">
        <f>+Historicals!B149</f>
        <v>484</v>
      </c>
      <c r="C192" s="51">
        <f>+Historicals!C149</f>
        <v>511</v>
      </c>
      <c r="D192" s="51">
        <f>+Historicals!D149</f>
        <v>533</v>
      </c>
      <c r="E192" s="51">
        <f>+Historicals!E149</f>
        <v>597</v>
      </c>
      <c r="F192" s="51">
        <f>+Historicals!F149</f>
        <v>665</v>
      </c>
      <c r="G192" s="51">
        <f>+Historicals!G149</f>
        <v>830</v>
      </c>
      <c r="H192" s="51">
        <f>+Historicals!H149</f>
        <v>780</v>
      </c>
      <c r="I192" s="51">
        <f>+Historicals!I149</f>
        <v>789</v>
      </c>
      <c r="J192" s="10">
        <f>I192*(1+J193)</f>
        <v>789</v>
      </c>
      <c r="K192" s="10">
        <f>J192*(1+K193)</f>
        <v>789</v>
      </c>
      <c r="L192" s="10">
        <f>K192*(1+L193)</f>
        <v>789</v>
      </c>
      <c r="M192" s="10">
        <f>L192*(1+M193)</f>
        <v>789</v>
      </c>
      <c r="N192" s="10">
        <f>M192*(1+N193)</f>
        <v>789</v>
      </c>
    </row>
    <row r="193" spans="1:14" x14ac:dyDescent="0.3">
      <c r="A193" s="43" t="s">
        <v>134</v>
      </c>
      <c r="B193" s="45" t="s">
        <v>140</v>
      </c>
      <c r="C193" s="53">
        <f t="shared" ref="C193:I193" si="125">C192/B192-1</f>
        <v>5.5785123966942241E-2</v>
      </c>
      <c r="D193" s="53">
        <f t="shared" si="125"/>
        <v>4.3052837573385627E-2</v>
      </c>
      <c r="E193" s="53">
        <f t="shared" si="125"/>
        <v>0.12007504690431525</v>
      </c>
      <c r="F193" s="53">
        <f t="shared" si="125"/>
        <v>0.11390284757118918</v>
      </c>
      <c r="G193" s="53">
        <f t="shared" si="125"/>
        <v>0.24812030075187974</v>
      </c>
      <c r="H193" s="53">
        <f t="shared" si="125"/>
        <v>-6.0240963855421659E-2</v>
      </c>
      <c r="I193" s="53">
        <f t="shared" si="125"/>
        <v>1.1538461538461497E-2</v>
      </c>
      <c r="J193" s="53">
        <v>0</v>
      </c>
      <c r="K193" s="53">
        <v>0</v>
      </c>
      <c r="L193" s="53">
        <v>0</v>
      </c>
      <c r="M193" s="53">
        <v>0</v>
      </c>
      <c r="N193" s="53">
        <v>0</v>
      </c>
    </row>
    <row r="194" spans="1:14" x14ac:dyDescent="0.3">
      <c r="A194" s="43" t="s">
        <v>141</v>
      </c>
      <c r="B194" s="53">
        <f t="shared" ref="B194:N194" si="126">B192/B177</f>
        <v>4.2086956521739127</v>
      </c>
      <c r="C194" s="53">
        <f t="shared" si="126"/>
        <v>7</v>
      </c>
      <c r="D194" s="53">
        <f t="shared" si="126"/>
        <v>7.3013698630136989</v>
      </c>
      <c r="E194" s="53">
        <f t="shared" si="126"/>
        <v>6.7840909090909092</v>
      </c>
      <c r="F194" s="53">
        <f t="shared" si="126"/>
        <v>15.833333333333334</v>
      </c>
      <c r="G194" s="53">
        <f t="shared" si="126"/>
        <v>27.666666666666668</v>
      </c>
      <c r="H194" s="53">
        <f t="shared" si="126"/>
        <v>31.2</v>
      </c>
      <c r="I194" s="53">
        <f t="shared" si="126"/>
        <v>7.7352941176470589</v>
      </c>
      <c r="J194" s="53">
        <f t="shared" si="126"/>
        <v>7.7352941176470589</v>
      </c>
      <c r="K194" s="53">
        <f t="shared" si="126"/>
        <v>7.7352941176470589</v>
      </c>
      <c r="L194" s="53">
        <f t="shared" si="126"/>
        <v>7.7352941176470589</v>
      </c>
      <c r="M194" s="53">
        <f t="shared" si="126"/>
        <v>7.7352941176470589</v>
      </c>
      <c r="N194" s="53">
        <f t="shared" si="126"/>
        <v>7.7352941176470589</v>
      </c>
    </row>
    <row r="195" spans="1:14" x14ac:dyDescent="0.3">
      <c r="A195" s="47" t="s">
        <v>116</v>
      </c>
      <c r="B195" s="47"/>
      <c r="C195" s="47"/>
      <c r="D195" s="47"/>
      <c r="E195" s="47"/>
      <c r="F195" s="47"/>
      <c r="G195" s="47"/>
      <c r="H195" s="47"/>
      <c r="I195" s="47"/>
      <c r="J195" s="41"/>
      <c r="K195" s="41"/>
      <c r="L195" s="41"/>
      <c r="M195" s="41"/>
      <c r="N195" s="41"/>
    </row>
    <row r="196" spans="1:14" x14ac:dyDescent="0.3">
      <c r="A196" s="11" t="s">
        <v>148</v>
      </c>
      <c r="B196" s="51">
        <f>+Historicals!B130</f>
        <v>-82</v>
      </c>
      <c r="C196" s="51">
        <f>+Historicals!C130</f>
        <v>-86</v>
      </c>
      <c r="D196" s="51">
        <f>+Historicals!D130</f>
        <v>75</v>
      </c>
      <c r="E196" s="51">
        <f>+Historicals!E130</f>
        <v>26</v>
      </c>
      <c r="F196" s="51">
        <f>+Historicals!F130</f>
        <v>-7</v>
      </c>
      <c r="G196" s="51">
        <f>+Historicals!G130</f>
        <v>-11</v>
      </c>
      <c r="H196" s="51">
        <f>+Historicals!H130</f>
        <v>40</v>
      </c>
      <c r="I196" s="51">
        <f>+Historicals!I130</f>
        <v>-72</v>
      </c>
      <c r="J196" s="10">
        <f>I196*(1+J197)</f>
        <v>-72</v>
      </c>
      <c r="K196" s="10">
        <f>J196*(1+K197)</f>
        <v>-72</v>
      </c>
      <c r="L196" s="10">
        <f>K196*(1+L197)</f>
        <v>-72</v>
      </c>
      <c r="M196" s="10">
        <f>L196*(1+M197)</f>
        <v>-72</v>
      </c>
      <c r="N196" s="10">
        <f>M196*(1+N197)</f>
        <v>-72</v>
      </c>
    </row>
    <row r="197" spans="1:14" x14ac:dyDescent="0.3">
      <c r="A197" s="48" t="s">
        <v>134</v>
      </c>
      <c r="B197" s="52">
        <f>+Historicals!B202</f>
        <v>-28.333333333333332</v>
      </c>
      <c r="C197" s="52">
        <f>+Historicals!C202</f>
        <v>4.878048780487805E-2</v>
      </c>
      <c r="D197" s="52">
        <f>+Historicals!D202</f>
        <v>-1.8720930232558139</v>
      </c>
      <c r="E197" s="52">
        <f>+Historicals!E202</f>
        <v>-0.65333333333333332</v>
      </c>
      <c r="F197" s="52">
        <f>+Historicals!F202</f>
        <v>-1.2692307692307692</v>
      </c>
      <c r="G197" s="52">
        <f>+Historicals!G202</f>
        <v>0.5714285714285714</v>
      </c>
      <c r="H197" s="52">
        <f>+Historicals!H202</f>
        <v>-4.6363636363636367</v>
      </c>
      <c r="I197" s="52">
        <f>+Historicals!I202</f>
        <v>0</v>
      </c>
      <c r="J197" s="53">
        <v>0</v>
      </c>
      <c r="K197" s="53">
        <v>0</v>
      </c>
      <c r="L197" s="53">
        <v>0</v>
      </c>
      <c r="M197" s="53">
        <v>0</v>
      </c>
      <c r="N197" s="53">
        <v>0</v>
      </c>
    </row>
    <row r="198" spans="1:14" x14ac:dyDescent="0.3">
      <c r="A198" s="11" t="s">
        <v>135</v>
      </c>
      <c r="B198" s="10">
        <f t="shared" ref="B198:I198" si="127">B204+B201</f>
        <v>4839</v>
      </c>
      <c r="C198" s="10">
        <f t="shared" si="127"/>
        <v>5291</v>
      </c>
      <c r="D198" s="10">
        <f t="shared" si="127"/>
        <v>5651</v>
      </c>
      <c r="E198" s="10">
        <f t="shared" si="127"/>
        <v>5126</v>
      </c>
      <c r="F198" s="10">
        <f t="shared" si="127"/>
        <v>5555</v>
      </c>
      <c r="G198" s="10">
        <f t="shared" si="127"/>
        <v>3697</v>
      </c>
      <c r="H198" s="10">
        <f t="shared" si="127"/>
        <v>7667</v>
      </c>
      <c r="I198" s="10">
        <f t="shared" si="127"/>
        <v>7573</v>
      </c>
      <c r="J198" s="10">
        <f>I198*(1+J199)</f>
        <v>7573</v>
      </c>
      <c r="K198" s="10">
        <f>J198*(1+K199)</f>
        <v>7573</v>
      </c>
      <c r="L198" s="10">
        <f>K198*(1+L199)</f>
        <v>7573</v>
      </c>
      <c r="M198" s="10">
        <f>L198*(1+M199)</f>
        <v>7573</v>
      </c>
      <c r="N198" s="10">
        <f>M198*(1+N199)</f>
        <v>7573</v>
      </c>
    </row>
    <row r="199" spans="1:14" x14ac:dyDescent="0.3">
      <c r="A199" s="43" t="s">
        <v>134</v>
      </c>
      <c r="B199" s="45" t="s">
        <v>140</v>
      </c>
      <c r="C199" s="53">
        <f t="shared" ref="C199:I199" si="128">C198/B198-1</f>
        <v>9.3407728869601137E-2</v>
      </c>
      <c r="D199" s="53">
        <f t="shared" si="128"/>
        <v>6.8040068040068125E-2</v>
      </c>
      <c r="E199" s="53">
        <f t="shared" si="128"/>
        <v>-9.2903910812245583E-2</v>
      </c>
      <c r="F199" s="53">
        <f t="shared" si="128"/>
        <v>8.3690987124463545E-2</v>
      </c>
      <c r="G199" s="53">
        <f t="shared" si="128"/>
        <v>-0.3344734473447345</v>
      </c>
      <c r="H199" s="53">
        <f t="shared" si="128"/>
        <v>1.0738436570192049</v>
      </c>
      <c r="I199" s="53">
        <f t="shared" si="128"/>
        <v>-1.2260336507108338E-2</v>
      </c>
      <c r="J199" s="53">
        <v>0</v>
      </c>
      <c r="K199" s="53">
        <v>0</v>
      </c>
      <c r="L199" s="53">
        <v>0</v>
      </c>
      <c r="M199" s="53">
        <v>0</v>
      </c>
      <c r="N199" s="53">
        <v>0</v>
      </c>
    </row>
    <row r="200" spans="1:14" x14ac:dyDescent="0.3">
      <c r="A200" s="43" t="s">
        <v>137</v>
      </c>
      <c r="B200" s="53">
        <f t="shared" ref="B200:N200" si="129">B198/B196</f>
        <v>-59.012195121951223</v>
      </c>
      <c r="C200" s="53">
        <f t="shared" si="129"/>
        <v>-61.52325581395349</v>
      </c>
      <c r="D200" s="53">
        <f t="shared" si="129"/>
        <v>75.346666666666664</v>
      </c>
      <c r="E200" s="53">
        <f t="shared" si="129"/>
        <v>197.15384615384616</v>
      </c>
      <c r="F200" s="53">
        <f t="shared" si="129"/>
        <v>-793.57142857142856</v>
      </c>
      <c r="G200" s="53">
        <f t="shared" si="129"/>
        <v>-336.09090909090907</v>
      </c>
      <c r="H200" s="53">
        <f t="shared" si="129"/>
        <v>191.67500000000001</v>
      </c>
      <c r="I200" s="53">
        <f t="shared" si="129"/>
        <v>-105.18055555555556</v>
      </c>
      <c r="J200" s="53">
        <f t="shared" si="129"/>
        <v>-105.18055555555556</v>
      </c>
      <c r="K200" s="53">
        <f t="shared" si="129"/>
        <v>-105.18055555555556</v>
      </c>
      <c r="L200" s="53">
        <f t="shared" si="129"/>
        <v>-105.18055555555556</v>
      </c>
      <c r="M200" s="53">
        <f t="shared" si="129"/>
        <v>-105.18055555555556</v>
      </c>
      <c r="N200" s="53">
        <f t="shared" si="129"/>
        <v>-105.18055555555556</v>
      </c>
    </row>
    <row r="201" spans="1:14" x14ac:dyDescent="0.3">
      <c r="A201" s="11" t="s">
        <v>138</v>
      </c>
      <c r="B201" s="51">
        <f>+Historicals!B175</f>
        <v>606</v>
      </c>
      <c r="C201" s="51">
        <f>+Historicals!C175</f>
        <v>649</v>
      </c>
      <c r="D201" s="51">
        <f>+Historicals!D175</f>
        <v>706</v>
      </c>
      <c r="E201" s="51">
        <f>+Historicals!E175</f>
        <v>747</v>
      </c>
      <c r="F201" s="51">
        <f>+Historicals!F175</f>
        <v>705</v>
      </c>
      <c r="G201" s="51">
        <f>+Historicals!G175</f>
        <v>721</v>
      </c>
      <c r="H201" s="51">
        <f>+Historicals!H175</f>
        <v>744</v>
      </c>
      <c r="I201" s="51">
        <f>+Historicals!I175</f>
        <v>717</v>
      </c>
      <c r="J201" s="10">
        <f>I201*(1+J202)</f>
        <v>717</v>
      </c>
      <c r="K201" s="10">
        <f>J201*(1+K202)</f>
        <v>717</v>
      </c>
      <c r="L201" s="10">
        <f>K201*(1+L202)</f>
        <v>717</v>
      </c>
      <c r="M201" s="10">
        <f>L201*(1+M202)</f>
        <v>717</v>
      </c>
      <c r="N201" s="10">
        <f>M201*(1+N202)</f>
        <v>717</v>
      </c>
    </row>
    <row r="202" spans="1:14" x14ac:dyDescent="0.3">
      <c r="A202" s="43" t="s">
        <v>134</v>
      </c>
      <c r="B202" s="45" t="s">
        <v>140</v>
      </c>
      <c r="C202" s="53">
        <f t="shared" ref="C202:I202" si="130">C201/B201-1</f>
        <v>7.0957095709570872E-2</v>
      </c>
      <c r="D202" s="53">
        <f t="shared" si="130"/>
        <v>8.7827426810477727E-2</v>
      </c>
      <c r="E202" s="53">
        <f t="shared" si="130"/>
        <v>5.8073654390934815E-2</v>
      </c>
      <c r="F202" s="53">
        <f t="shared" si="130"/>
        <v>-5.6224899598393607E-2</v>
      </c>
      <c r="G202" s="53">
        <f t="shared" si="130"/>
        <v>2.2695035460992941E-2</v>
      </c>
      <c r="H202" s="53">
        <f t="shared" si="130"/>
        <v>3.1900138696255187E-2</v>
      </c>
      <c r="I202" s="53">
        <f t="shared" si="130"/>
        <v>-3.6290322580645129E-2</v>
      </c>
      <c r="J202" s="53">
        <v>0</v>
      </c>
      <c r="K202" s="53">
        <v>0</v>
      </c>
      <c r="L202" s="53">
        <v>0</v>
      </c>
      <c r="M202" s="53">
        <v>0</v>
      </c>
      <c r="N202" s="53">
        <v>0</v>
      </c>
    </row>
    <row r="203" spans="1:14" x14ac:dyDescent="0.3">
      <c r="A203" s="43" t="s">
        <v>141</v>
      </c>
      <c r="B203" s="53">
        <f t="shared" ref="B203:N203" si="131">B201/B196</f>
        <v>-7.3902439024390247</v>
      </c>
      <c r="C203" s="53">
        <f t="shared" si="131"/>
        <v>-7.5465116279069768</v>
      </c>
      <c r="D203" s="53">
        <f t="shared" si="131"/>
        <v>9.413333333333334</v>
      </c>
      <c r="E203" s="53">
        <f t="shared" si="131"/>
        <v>28.73076923076923</v>
      </c>
      <c r="F203" s="53">
        <f t="shared" si="131"/>
        <v>-100.71428571428571</v>
      </c>
      <c r="G203" s="53">
        <f t="shared" si="131"/>
        <v>-65.545454545454547</v>
      </c>
      <c r="H203" s="53">
        <f t="shared" si="131"/>
        <v>18.600000000000001</v>
      </c>
      <c r="I203" s="53">
        <f t="shared" si="131"/>
        <v>-9.9583333333333339</v>
      </c>
      <c r="J203" s="53">
        <f t="shared" si="131"/>
        <v>-9.9583333333333339</v>
      </c>
      <c r="K203" s="53">
        <f t="shared" si="131"/>
        <v>-9.9583333333333339</v>
      </c>
      <c r="L203" s="53">
        <f t="shared" si="131"/>
        <v>-9.9583333333333339</v>
      </c>
      <c r="M203" s="53">
        <f t="shared" si="131"/>
        <v>-9.9583333333333339</v>
      </c>
      <c r="N203" s="53">
        <f t="shared" si="131"/>
        <v>-9.9583333333333339</v>
      </c>
    </row>
    <row r="204" spans="1:14" x14ac:dyDescent="0.3">
      <c r="A204" s="11" t="s">
        <v>142</v>
      </c>
      <c r="B204" s="51">
        <f>+Historicals!B142</f>
        <v>4233</v>
      </c>
      <c r="C204" s="51">
        <f>+Historicals!C142</f>
        <v>4642</v>
      </c>
      <c r="D204" s="51">
        <f>+Historicals!D142</f>
        <v>4945</v>
      </c>
      <c r="E204" s="51">
        <f>+Historicals!E142</f>
        <v>4379</v>
      </c>
      <c r="F204" s="51">
        <f>+Historicals!F142</f>
        <v>4850</v>
      </c>
      <c r="G204" s="51">
        <f>+Historicals!G142</f>
        <v>2976</v>
      </c>
      <c r="H204" s="51">
        <f>+Historicals!H142</f>
        <v>6923</v>
      </c>
      <c r="I204" s="51">
        <f>+Historicals!I142</f>
        <v>6856</v>
      </c>
      <c r="J204" s="10">
        <f>I204*(1+J205)</f>
        <v>6856</v>
      </c>
      <c r="K204" s="10">
        <f>J204*(1+K205)</f>
        <v>6856</v>
      </c>
      <c r="L204" s="10">
        <f>K204*(1+L205)</f>
        <v>6856</v>
      </c>
      <c r="M204" s="10">
        <f>L204*(1+M205)</f>
        <v>6856</v>
      </c>
      <c r="N204" s="10">
        <f>M204*(1+N205)</f>
        <v>6856</v>
      </c>
    </row>
    <row r="205" spans="1:14" x14ac:dyDescent="0.3">
      <c r="A205" s="43" t="s">
        <v>134</v>
      </c>
      <c r="B205" s="45" t="s">
        <v>140</v>
      </c>
      <c r="C205" s="53">
        <f t="shared" ref="C205:I205" si="132">C204/B204-1</f>
        <v>9.6621781242617555E-2</v>
      </c>
      <c r="D205" s="53">
        <f t="shared" si="132"/>
        <v>6.5273588970271357E-2</v>
      </c>
      <c r="E205" s="53">
        <f t="shared" si="132"/>
        <v>-0.11445904954499497</v>
      </c>
      <c r="F205" s="53">
        <f t="shared" si="132"/>
        <v>0.10755880337976698</v>
      </c>
      <c r="G205" s="53">
        <f t="shared" si="132"/>
        <v>-0.38639175257731961</v>
      </c>
      <c r="H205" s="53">
        <f t="shared" si="132"/>
        <v>1.32627688172043</v>
      </c>
      <c r="I205" s="53">
        <f t="shared" si="132"/>
        <v>-9.67788530983682E-3</v>
      </c>
      <c r="J205" s="53">
        <v>0</v>
      </c>
      <c r="K205" s="53">
        <v>0</v>
      </c>
      <c r="L205" s="53">
        <v>0</v>
      </c>
      <c r="M205" s="53">
        <v>0</v>
      </c>
      <c r="N205" s="53">
        <v>0</v>
      </c>
    </row>
    <row r="206" spans="1:14" x14ac:dyDescent="0.3">
      <c r="A206" s="43" t="s">
        <v>137</v>
      </c>
      <c r="B206" s="53">
        <f t="shared" ref="B206:N206" si="133">B204/B196</f>
        <v>-51.621951219512198</v>
      </c>
      <c r="C206" s="53">
        <f t="shared" si="133"/>
        <v>-53.97674418604651</v>
      </c>
      <c r="D206" s="53">
        <f t="shared" si="133"/>
        <v>65.933333333333337</v>
      </c>
      <c r="E206" s="53">
        <f t="shared" si="133"/>
        <v>168.42307692307693</v>
      </c>
      <c r="F206" s="53">
        <f t="shared" si="133"/>
        <v>-692.85714285714289</v>
      </c>
      <c r="G206" s="53">
        <f t="shared" si="133"/>
        <v>-270.54545454545456</v>
      </c>
      <c r="H206" s="53">
        <f t="shared" si="133"/>
        <v>173.07499999999999</v>
      </c>
      <c r="I206" s="53">
        <f t="shared" si="133"/>
        <v>-95.222222222222229</v>
      </c>
      <c r="J206" s="53">
        <f t="shared" si="133"/>
        <v>-95.222222222222229</v>
      </c>
      <c r="K206" s="53">
        <f t="shared" si="133"/>
        <v>-95.222222222222229</v>
      </c>
      <c r="L206" s="53">
        <f t="shared" si="133"/>
        <v>-95.222222222222229</v>
      </c>
      <c r="M206" s="53">
        <f t="shared" si="133"/>
        <v>-95.222222222222229</v>
      </c>
      <c r="N206" s="53">
        <f t="shared" si="133"/>
        <v>-95.222222222222229</v>
      </c>
    </row>
    <row r="207" spans="1:14" x14ac:dyDescent="0.3">
      <c r="A207" s="11" t="s">
        <v>144</v>
      </c>
      <c r="B207" s="56">
        <v>144</v>
      </c>
      <c r="C207" s="56">
        <v>312</v>
      </c>
      <c r="D207" s="56">
        <v>387</v>
      </c>
      <c r="E207" s="56">
        <v>325</v>
      </c>
      <c r="F207" s="56">
        <v>333</v>
      </c>
      <c r="G207" s="56">
        <v>356</v>
      </c>
      <c r="H207" s="56">
        <v>107</v>
      </c>
      <c r="I207" s="56">
        <v>103</v>
      </c>
      <c r="J207" s="10">
        <f>I207*(1+J208)</f>
        <v>103</v>
      </c>
      <c r="K207" s="10">
        <f>J207*(1+K208)</f>
        <v>103</v>
      </c>
      <c r="L207" s="10">
        <f>K207*(1+L208)</f>
        <v>103</v>
      </c>
      <c r="M207" s="10">
        <f>L207*(1+M208)</f>
        <v>103</v>
      </c>
      <c r="N207" s="10">
        <f>M207*(1+N208)</f>
        <v>103</v>
      </c>
    </row>
    <row r="208" spans="1:14" x14ac:dyDescent="0.3">
      <c r="A208" s="43" t="s">
        <v>134</v>
      </c>
      <c r="B208" s="45" t="s">
        <v>140</v>
      </c>
      <c r="C208" s="53">
        <f t="shared" ref="C208:I208" si="134">C207/B207-1</f>
        <v>1.1666666666666665</v>
      </c>
      <c r="D208" s="53">
        <f t="shared" si="134"/>
        <v>0.24038461538461542</v>
      </c>
      <c r="E208" s="53">
        <f t="shared" si="134"/>
        <v>-0.16020671834625322</v>
      </c>
      <c r="F208" s="53">
        <f t="shared" si="134"/>
        <v>2.4615384615384706E-2</v>
      </c>
      <c r="G208" s="53">
        <f t="shared" si="134"/>
        <v>6.9069069069069178E-2</v>
      </c>
      <c r="H208" s="53">
        <f t="shared" si="134"/>
        <v>-0.699438202247191</v>
      </c>
      <c r="I208" s="53">
        <f t="shared" si="134"/>
        <v>-3.7383177570093462E-2</v>
      </c>
      <c r="J208" s="53">
        <v>0</v>
      </c>
      <c r="K208" s="53">
        <v>0</v>
      </c>
      <c r="L208" s="53">
        <v>0</v>
      </c>
      <c r="M208" s="53">
        <v>0</v>
      </c>
      <c r="N208" s="53">
        <v>0</v>
      </c>
    </row>
    <row r="209" spans="1:14" x14ac:dyDescent="0.3">
      <c r="A209" s="43" t="s">
        <v>141</v>
      </c>
      <c r="B209" s="53">
        <f t="shared" ref="B209:N209" si="135">B207/B196</f>
        <v>-1.7560975609756098</v>
      </c>
      <c r="C209" s="53">
        <f t="shared" si="135"/>
        <v>-3.6279069767441858</v>
      </c>
      <c r="D209" s="53">
        <f t="shared" si="135"/>
        <v>5.16</v>
      </c>
      <c r="E209" s="53">
        <f t="shared" si="135"/>
        <v>12.5</v>
      </c>
      <c r="F209" s="53">
        <f t="shared" si="135"/>
        <v>-47.571428571428569</v>
      </c>
      <c r="G209" s="53">
        <f t="shared" si="135"/>
        <v>-32.363636363636367</v>
      </c>
      <c r="H209" s="53">
        <f t="shared" si="135"/>
        <v>2.6749999999999998</v>
      </c>
      <c r="I209" s="53">
        <f t="shared" si="135"/>
        <v>-1.4305555555555556</v>
      </c>
      <c r="J209" s="53">
        <f t="shared" si="135"/>
        <v>-1.4305555555555556</v>
      </c>
      <c r="K209" s="53">
        <f t="shared" si="135"/>
        <v>-1.4305555555555556</v>
      </c>
      <c r="L209" s="53">
        <f t="shared" si="135"/>
        <v>-1.4305555555555556</v>
      </c>
      <c r="M209" s="53">
        <f t="shared" si="135"/>
        <v>-1.4305555555555556</v>
      </c>
      <c r="N209" s="53">
        <f t="shared" si="135"/>
        <v>-1.4305555555555556</v>
      </c>
    </row>
    <row r="210" spans="1:14" x14ac:dyDescent="0.3">
      <c r="A210" s="11" t="s">
        <v>146</v>
      </c>
      <c r="B210" s="51">
        <f>+Historicals!B153</f>
        <v>3011</v>
      </c>
      <c r="C210" s="51">
        <f>+Historicals!C153</f>
        <v>3520</v>
      </c>
      <c r="D210" s="51">
        <f>+Historicals!D153</f>
        <v>3989</v>
      </c>
      <c r="E210" s="51">
        <f>+Historicals!E153</f>
        <v>4454</v>
      </c>
      <c r="F210" s="51">
        <f>+Historicals!F153</f>
        <v>4744</v>
      </c>
      <c r="G210" s="51">
        <f>+Historicals!G153</f>
        <v>4866</v>
      </c>
      <c r="H210" s="51">
        <f>+Historicals!H153</f>
        <v>4904</v>
      </c>
      <c r="I210" s="51">
        <f>+Historicals!I153</f>
        <v>4791</v>
      </c>
      <c r="J210" s="10">
        <f>I210*(1+J211)</f>
        <v>4791</v>
      </c>
      <c r="K210" s="10">
        <f>J210*(1+K211)</f>
        <v>4791</v>
      </c>
      <c r="L210" s="10">
        <f>K210*(1+L211)</f>
        <v>4791</v>
      </c>
      <c r="M210" s="10">
        <f>L210*(1+M211)</f>
        <v>4791</v>
      </c>
      <c r="N210" s="10">
        <f>M210*(1+N211)</f>
        <v>4791</v>
      </c>
    </row>
    <row r="211" spans="1:14" x14ac:dyDescent="0.3">
      <c r="A211" s="43" t="s">
        <v>134</v>
      </c>
      <c r="B211" s="45" t="s">
        <v>140</v>
      </c>
      <c r="C211" s="53">
        <f t="shared" ref="C211:I211" si="136">C210/B210-1</f>
        <v>0.16904682829624718</v>
      </c>
      <c r="D211" s="53">
        <f t="shared" si="136"/>
        <v>0.13323863636363642</v>
      </c>
      <c r="E211" s="53">
        <f t="shared" si="136"/>
        <v>0.11657056906492858</v>
      </c>
      <c r="F211" s="53">
        <f t="shared" si="136"/>
        <v>6.5110013471037176E-2</v>
      </c>
      <c r="G211" s="53">
        <f t="shared" si="136"/>
        <v>2.5716694772343951E-2</v>
      </c>
      <c r="H211" s="53">
        <f t="shared" si="136"/>
        <v>7.8092889436909285E-3</v>
      </c>
      <c r="I211" s="53">
        <f t="shared" si="136"/>
        <v>-2.3042414355628038E-2</v>
      </c>
      <c r="J211" s="53">
        <v>0</v>
      </c>
      <c r="K211" s="53">
        <v>0</v>
      </c>
      <c r="L211" s="53">
        <v>0</v>
      </c>
      <c r="M211" s="53">
        <v>0</v>
      </c>
      <c r="N211" s="53">
        <v>0</v>
      </c>
    </row>
    <row r="212" spans="1:14" x14ac:dyDescent="0.3">
      <c r="A212" s="43" t="s">
        <v>141</v>
      </c>
      <c r="B212" s="53">
        <f t="shared" ref="B212:N212" si="137">B210/B196</f>
        <v>-36.719512195121951</v>
      </c>
      <c r="C212" s="53">
        <f t="shared" si="137"/>
        <v>-40.930232558139537</v>
      </c>
      <c r="D212" s="53">
        <f t="shared" si="137"/>
        <v>53.186666666666667</v>
      </c>
      <c r="E212" s="53">
        <f t="shared" si="137"/>
        <v>171.30769230769232</v>
      </c>
      <c r="F212" s="53">
        <f t="shared" si="137"/>
        <v>-677.71428571428567</v>
      </c>
      <c r="G212" s="53">
        <f t="shared" si="137"/>
        <v>-442.36363636363637</v>
      </c>
      <c r="H212" s="53">
        <f t="shared" si="137"/>
        <v>122.6</v>
      </c>
      <c r="I212" s="53">
        <f t="shared" si="137"/>
        <v>-66.541666666666671</v>
      </c>
      <c r="J212" s="53">
        <f t="shared" si="137"/>
        <v>-66.541666666666671</v>
      </c>
      <c r="K212" s="53">
        <f t="shared" si="137"/>
        <v>-66.541666666666671</v>
      </c>
      <c r="L212" s="53">
        <f t="shared" si="137"/>
        <v>-66.541666666666671</v>
      </c>
      <c r="M212" s="53">
        <f t="shared" si="137"/>
        <v>-66.541666666666671</v>
      </c>
      <c r="N212" s="53">
        <f t="shared" si="137"/>
        <v>-66.541666666666671</v>
      </c>
    </row>
  </sheetData>
  <pageMargins left="0.7" right="0.7" top="0.75" bottom="0.75"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69"/>
  <sheetViews>
    <sheetView tabSelected="1" zoomScale="80" zoomScaleNormal="80" workbookViewId="0">
      <selection activeCell="N16" sqref="N16"/>
    </sheetView>
  </sheetViews>
  <sheetFormatPr defaultColWidth="8.6640625" defaultRowHeight="14.4" x14ac:dyDescent="0.3"/>
  <cols>
    <col min="1" max="1" width="48.77734375" customWidth="1"/>
    <col min="2" max="14" width="11.77734375" customWidth="1"/>
    <col min="15" max="15" width="39.88671875" customWidth="1"/>
  </cols>
  <sheetData>
    <row r="1" spans="1:15" ht="60" customHeight="1" x14ac:dyDescent="0.3">
      <c r="A1" s="5" t="s">
        <v>4</v>
      </c>
      <c r="B1" s="6">
        <f t="shared" ref="B1:H1" si="0">+C1-1</f>
        <v>2015</v>
      </c>
      <c r="C1" s="6">
        <f t="shared" si="0"/>
        <v>2016</v>
      </c>
      <c r="D1" s="6">
        <f t="shared" si="0"/>
        <v>2017</v>
      </c>
      <c r="E1" s="6">
        <f t="shared" si="0"/>
        <v>2018</v>
      </c>
      <c r="F1" s="6">
        <f t="shared" si="0"/>
        <v>2019</v>
      </c>
      <c r="G1" s="6">
        <f t="shared" si="0"/>
        <v>2020</v>
      </c>
      <c r="H1" s="6">
        <f t="shared" si="0"/>
        <v>2021</v>
      </c>
      <c r="I1" s="6">
        <v>2022</v>
      </c>
      <c r="J1" s="41">
        <f>+I1+1</f>
        <v>2023</v>
      </c>
      <c r="K1" s="41">
        <f>+J1+1</f>
        <v>2024</v>
      </c>
      <c r="L1" s="41">
        <f>+K1+1</f>
        <v>2025</v>
      </c>
      <c r="M1" s="41">
        <f>+L1+1</f>
        <v>2026</v>
      </c>
      <c r="N1" s="41">
        <f>+M1+1</f>
        <v>2027</v>
      </c>
    </row>
    <row r="2" spans="1:15" x14ac:dyDescent="0.3">
      <c r="A2" s="42" t="s">
        <v>153</v>
      </c>
      <c r="B2" s="42"/>
      <c r="C2" s="42"/>
      <c r="D2" s="42"/>
      <c r="E2" s="42"/>
      <c r="F2" s="42"/>
      <c r="G2" s="42"/>
      <c r="H2" s="42"/>
      <c r="I2" s="42"/>
      <c r="J2" s="41"/>
      <c r="K2" s="41"/>
      <c r="L2" s="41"/>
      <c r="M2" s="41"/>
      <c r="N2" s="41"/>
    </row>
    <row r="3" spans="1:15" x14ac:dyDescent="0.3">
      <c r="A3" s="10" t="s">
        <v>148</v>
      </c>
      <c r="B3" s="11">
        <f>'Segmental forecast'!B3</f>
        <v>30260</v>
      </c>
      <c r="C3" s="11">
        <f>'Segmental forecast'!C3</f>
        <v>31237</v>
      </c>
      <c r="D3" s="11">
        <f>'Segmental forecast'!D3</f>
        <v>32955</v>
      </c>
      <c r="E3" s="11">
        <f>'Segmental forecast'!E3</f>
        <v>34580</v>
      </c>
      <c r="F3" s="11">
        <f>'Segmental forecast'!F3</f>
        <v>36529</v>
      </c>
      <c r="G3" s="11">
        <f>'Segmental forecast'!G3</f>
        <v>34377</v>
      </c>
      <c r="H3" s="11">
        <f>'Segmental forecast'!H3</f>
        <v>40499</v>
      </c>
      <c r="I3" s="11">
        <f>'Segmental forecast'!I3</f>
        <v>43240</v>
      </c>
      <c r="J3" s="11" t="s">
        <v>205</v>
      </c>
      <c r="K3" s="11"/>
      <c r="L3" s="11"/>
      <c r="M3" s="11"/>
      <c r="N3" s="11"/>
      <c r="O3" t="s">
        <v>154</v>
      </c>
    </row>
    <row r="4" spans="1:15" x14ac:dyDescent="0.3">
      <c r="A4" s="43" t="s">
        <v>134</v>
      </c>
      <c r="B4" s="57">
        <f>+'Segmental forecast'!B4</f>
        <v>0.1</v>
      </c>
      <c r="C4" s="57">
        <f>+'Segmental forecast'!C4</f>
        <v>3.1277011236674458E-2</v>
      </c>
      <c r="D4" s="57">
        <f>+'Segmental forecast'!D4</f>
        <v>5.2131694735245031E-2</v>
      </c>
      <c r="E4" s="57">
        <f>+'Segmental forecast'!E4</f>
        <v>4.6992481203007516E-2</v>
      </c>
      <c r="F4" s="57">
        <f>+'Segmental forecast'!F4</f>
        <v>5.3354868734430176E-2</v>
      </c>
      <c r="G4" s="57">
        <f>+'Segmental forecast'!G4</f>
        <v>-6.2599994182156671E-2</v>
      </c>
      <c r="H4" s="57">
        <f>+'Segmental forecast'!H4</f>
        <v>0.15116422627719203</v>
      </c>
      <c r="I4" s="57">
        <f>+'Segmental forecast'!I4</f>
        <v>6.3390379278445888E-2</v>
      </c>
      <c r="J4" s="57"/>
      <c r="K4" s="57"/>
      <c r="L4" s="57"/>
      <c r="M4" s="57"/>
      <c r="N4" s="57"/>
    </row>
    <row r="5" spans="1:15" x14ac:dyDescent="0.3">
      <c r="A5" s="10" t="s">
        <v>155</v>
      </c>
      <c r="B5" s="11">
        <f>'Segmental forecast'!B5</f>
        <v>6047</v>
      </c>
      <c r="C5" s="11">
        <f>'Segmental forecast'!C5</f>
        <v>6282</v>
      </c>
      <c r="D5" s="11">
        <f>'Segmental forecast'!D5</f>
        <v>6792</v>
      </c>
      <c r="E5" s="11">
        <f>'Segmental forecast'!E5</f>
        <v>5605</v>
      </c>
      <c r="F5" s="11">
        <f>'Segmental forecast'!F5</f>
        <v>5283</v>
      </c>
      <c r="G5" s="11">
        <f>'Segmental forecast'!G5</f>
        <v>1284</v>
      </c>
      <c r="H5" s="11">
        <f>'Segmental forecast'!H5</f>
        <v>8042</v>
      </c>
      <c r="I5" s="11">
        <f>'Segmental forecast'!I5</f>
        <v>8007</v>
      </c>
      <c r="J5" s="11"/>
      <c r="K5" s="11"/>
      <c r="L5" s="11"/>
      <c r="M5" s="11"/>
      <c r="N5" s="11"/>
    </row>
    <row r="6" spans="1:15" x14ac:dyDescent="0.3">
      <c r="A6" s="58" t="s">
        <v>138</v>
      </c>
      <c r="B6" s="7">
        <f>+'Segmental forecast'!B8</f>
        <v>1358</v>
      </c>
      <c r="C6" s="7">
        <f>+'Segmental forecast'!C8</f>
        <v>1453</v>
      </c>
      <c r="D6" s="7">
        <f>+'Segmental forecast'!D8</f>
        <v>1563</v>
      </c>
      <c r="E6" s="7">
        <f>+'Segmental forecast'!E8</f>
        <v>1622</v>
      </c>
      <c r="F6" s="7">
        <f>+'Segmental forecast'!F8</f>
        <v>1524</v>
      </c>
      <c r="G6" s="7">
        <f>+'Segmental forecast'!G8</f>
        <v>1587</v>
      </c>
      <c r="H6" s="7">
        <f>+'Segmental forecast'!H8</f>
        <v>1638</v>
      </c>
      <c r="I6" s="7">
        <f>+'Segmental forecast'!I8</f>
        <v>1591</v>
      </c>
      <c r="J6" s="7"/>
      <c r="K6" s="7"/>
      <c r="L6" s="7"/>
      <c r="M6" s="7"/>
      <c r="N6" s="7"/>
    </row>
    <row r="7" spans="1:15" x14ac:dyDescent="0.3">
      <c r="A7" s="16" t="s">
        <v>142</v>
      </c>
      <c r="B7" s="17">
        <f>'Segmental forecast'!B11</f>
        <v>4689</v>
      </c>
      <c r="C7" s="17">
        <f>'Segmental forecast'!C11</f>
        <v>4829</v>
      </c>
      <c r="D7" s="17">
        <f>'Segmental forecast'!D11</f>
        <v>5229</v>
      </c>
      <c r="E7" s="17">
        <f>'Segmental forecast'!E11</f>
        <v>3983</v>
      </c>
      <c r="F7" s="17">
        <f>'Segmental forecast'!F11</f>
        <v>3759</v>
      </c>
      <c r="G7" s="17">
        <f>'Segmental forecast'!G11</f>
        <v>-303</v>
      </c>
      <c r="H7" s="17">
        <f>'Segmental forecast'!H11</f>
        <v>6404</v>
      </c>
      <c r="I7" s="17">
        <f>'Segmental forecast'!I11</f>
        <v>6416</v>
      </c>
      <c r="J7" s="11" t="s">
        <v>208</v>
      </c>
      <c r="K7" s="17"/>
      <c r="L7" s="17"/>
      <c r="M7" s="17"/>
      <c r="N7" s="17"/>
    </row>
    <row r="8" spans="1:15" x14ac:dyDescent="0.3">
      <c r="A8" s="43" t="s">
        <v>134</v>
      </c>
      <c r="B8" s="57" t="str">
        <f>+'Segmental forecast'!B12</f>
        <v>nm</v>
      </c>
      <c r="C8" s="57">
        <f>+'Segmental forecast'!C12</f>
        <v>2.9857112390701657E-2</v>
      </c>
      <c r="D8" s="57">
        <f>+'Segmental forecast'!D12</f>
        <v>7.6496462038630711E-2</v>
      </c>
      <c r="E8" s="57">
        <f>+'Segmental forecast'!E12</f>
        <v>-0.31282952548330406</v>
      </c>
      <c r="F8" s="57">
        <f>+'Segmental forecast'!F12</f>
        <v>-5.9590316573556797E-2</v>
      </c>
      <c r="G8" s="57">
        <f>+'Segmental forecast'!G12</f>
        <v>13.405940594059405</v>
      </c>
      <c r="H8" s="57">
        <f>+'Segmental forecast'!H12</f>
        <v>1.0473141786383511</v>
      </c>
      <c r="I8" s="57">
        <f>+'Segmental forecast'!I12</f>
        <v>1.8703241895261845E-3</v>
      </c>
      <c r="J8" s="57"/>
      <c r="K8" s="57"/>
      <c r="L8" s="57"/>
      <c r="M8" s="57"/>
      <c r="N8" s="57"/>
    </row>
    <row r="9" spans="1:15" x14ac:dyDescent="0.3">
      <c r="A9" s="43" t="s">
        <v>137</v>
      </c>
      <c r="B9" s="57">
        <f>+'Segmental forecast'!B13</f>
        <v>0.15495703899537344</v>
      </c>
      <c r="C9" s="57">
        <f>+'Segmental forecast'!C13</f>
        <v>0.15459231040112686</v>
      </c>
      <c r="D9" s="57">
        <f>+'Segmental forecast'!D13</f>
        <v>0.15867091488393265</v>
      </c>
      <c r="E9" s="57">
        <f>+'Segmental forecast'!E13</f>
        <v>0.11518218623481781</v>
      </c>
      <c r="F9" s="57">
        <f>+'Segmental forecast'!F13</f>
        <v>0.10290454159708724</v>
      </c>
      <c r="G9" s="57">
        <f>+'Segmental forecast'!G13</f>
        <v>-8.8140326381010558E-3</v>
      </c>
      <c r="H9" s="57">
        <f>+'Segmental forecast'!H13</f>
        <v>0.15812736116941159</v>
      </c>
      <c r="I9" s="57">
        <f>+'Segmental forecast'!I13</f>
        <v>0.14838112858464386</v>
      </c>
      <c r="J9" s="57"/>
      <c r="K9" s="57"/>
      <c r="L9" s="57"/>
      <c r="M9" s="57"/>
      <c r="N9" s="57"/>
    </row>
    <row r="10" spans="1:15" x14ac:dyDescent="0.3">
      <c r="A10" s="15" t="s">
        <v>11</v>
      </c>
      <c r="B10" s="7">
        <f>+Historicals!B8</f>
        <v>28</v>
      </c>
      <c r="C10" s="7">
        <f>+Historicals!C8</f>
        <v>19</v>
      </c>
      <c r="D10" s="7">
        <f>+Historicals!D8</f>
        <v>59</v>
      </c>
      <c r="E10" s="7">
        <f>+Historicals!E8</f>
        <v>54</v>
      </c>
      <c r="F10" s="7">
        <f>+Historicals!F8</f>
        <v>49</v>
      </c>
      <c r="G10" s="7">
        <f>+Historicals!G8</f>
        <v>89</v>
      </c>
      <c r="H10" s="7">
        <f>+Historicals!H8</f>
        <v>262</v>
      </c>
      <c r="I10" s="7">
        <f>+Historicals!I8</f>
        <v>205</v>
      </c>
      <c r="J10" s="7"/>
      <c r="K10" s="7"/>
      <c r="L10" s="7"/>
      <c r="M10" s="7"/>
      <c r="N10" s="7"/>
    </row>
    <row r="11" spans="1:15" x14ac:dyDescent="0.3">
      <c r="A11" s="16" t="s">
        <v>156</v>
      </c>
      <c r="B11" s="59">
        <v>4205</v>
      </c>
      <c r="C11" s="59">
        <v>4623</v>
      </c>
      <c r="D11" s="59">
        <v>4886</v>
      </c>
      <c r="E11" s="59">
        <v>4325</v>
      </c>
      <c r="F11" s="59">
        <v>4801</v>
      </c>
      <c r="G11" s="59">
        <v>2887</v>
      </c>
      <c r="H11" s="59">
        <v>6661</v>
      </c>
      <c r="I11" s="59">
        <v>6651</v>
      </c>
      <c r="J11" s="17"/>
      <c r="K11" s="17"/>
      <c r="L11" s="17"/>
      <c r="M11" s="17"/>
      <c r="N11" s="17"/>
    </row>
    <row r="12" spans="1:15" x14ac:dyDescent="0.3">
      <c r="A12" t="s">
        <v>14</v>
      </c>
      <c r="B12" s="7">
        <f>+Historicals!B11</f>
        <v>932</v>
      </c>
      <c r="C12" s="7">
        <f>+Historicals!C11</f>
        <v>863</v>
      </c>
      <c r="D12" s="7">
        <f>+Historicals!D11</f>
        <v>646</v>
      </c>
      <c r="E12" s="7">
        <f>+Historicals!E11</f>
        <v>2392</v>
      </c>
      <c r="F12" s="7">
        <f>+Historicals!F11</f>
        <v>772</v>
      </c>
      <c r="G12" s="7">
        <f>+Historicals!G11</f>
        <v>348</v>
      </c>
      <c r="H12" s="7">
        <f>+Historicals!H11</f>
        <v>934</v>
      </c>
      <c r="I12" s="7">
        <f>+Historicals!I11</f>
        <v>605</v>
      </c>
      <c r="J12" s="7"/>
      <c r="K12" s="7"/>
      <c r="L12" s="7"/>
      <c r="M12" s="7"/>
      <c r="N12" s="7"/>
    </row>
    <row r="13" spans="1:15" x14ac:dyDescent="0.3">
      <c r="A13" s="60" t="s">
        <v>157</v>
      </c>
      <c r="B13" s="61">
        <v>0.222</v>
      </c>
      <c r="C13" s="61">
        <v>0.187</v>
      </c>
      <c r="D13" s="61">
        <v>0.13200000000000001</v>
      </c>
      <c r="E13" s="61">
        <v>0.55300000000000005</v>
      </c>
      <c r="F13" s="61">
        <v>0.161</v>
      </c>
      <c r="G13" s="61">
        <v>0.121</v>
      </c>
      <c r="H13" s="61">
        <v>0.14000000000000001</v>
      </c>
      <c r="I13" s="61">
        <v>9.0999999999999998E-2</v>
      </c>
      <c r="J13" s="62"/>
      <c r="K13" s="62"/>
      <c r="L13" s="62"/>
      <c r="M13" s="62"/>
      <c r="N13" s="62"/>
    </row>
    <row r="14" spans="1:15" x14ac:dyDescent="0.3">
      <c r="A14" s="18" t="s">
        <v>158</v>
      </c>
      <c r="B14" s="19">
        <f>+Historicals!B12</f>
        <v>3273</v>
      </c>
      <c r="C14" s="19">
        <f>+Historicals!C12</f>
        <v>3760</v>
      </c>
      <c r="D14" s="19">
        <f>+Historicals!D12</f>
        <v>4240</v>
      </c>
      <c r="E14" s="19">
        <f>+Historicals!E12</f>
        <v>1933</v>
      </c>
      <c r="F14" s="19">
        <f>+Historicals!F12</f>
        <v>4029</v>
      </c>
      <c r="G14" s="19">
        <f>+Historicals!G12</f>
        <v>2539</v>
      </c>
      <c r="H14" s="19">
        <f>+Historicals!H12</f>
        <v>5727</v>
      </c>
      <c r="I14" s="19">
        <f>+Historicals!I12</f>
        <v>6046</v>
      </c>
      <c r="J14" s="19"/>
      <c r="K14" s="19"/>
      <c r="L14" s="19"/>
      <c r="M14" s="19"/>
      <c r="N14" s="19"/>
    </row>
    <row r="15" spans="1:15" x14ac:dyDescent="0.3">
      <c r="A15" t="s">
        <v>159</v>
      </c>
      <c r="B15" s="7">
        <f>Historicals!B18</f>
        <v>1768.8</v>
      </c>
      <c r="C15" s="7">
        <f>Historicals!C18</f>
        <v>1742.5</v>
      </c>
      <c r="D15" s="7">
        <f>Historicals!D18</f>
        <v>1692</v>
      </c>
      <c r="E15" s="7">
        <f>Historicals!E18</f>
        <v>1659.1</v>
      </c>
      <c r="F15" s="7">
        <f>Historicals!F18</f>
        <v>1618.4</v>
      </c>
      <c r="G15" s="7">
        <f>Historicals!G18</f>
        <v>1591.6</v>
      </c>
      <c r="H15" s="7">
        <f>Historicals!H18</f>
        <v>1609.4</v>
      </c>
      <c r="I15" s="7">
        <f>Historicals!I18</f>
        <v>1610.8</v>
      </c>
      <c r="J15" s="7"/>
      <c r="K15" s="7"/>
      <c r="L15" s="7"/>
      <c r="M15" s="7"/>
      <c r="N15" s="7"/>
      <c r="O15" t="s">
        <v>160</v>
      </c>
    </row>
    <row r="16" spans="1:15" x14ac:dyDescent="0.3">
      <c r="A16" t="s">
        <v>161</v>
      </c>
      <c r="B16" s="63">
        <f>Historicals!B14</f>
        <v>1.9</v>
      </c>
      <c r="C16" s="63">
        <f>Historicals!C14</f>
        <v>2.21</v>
      </c>
      <c r="D16" s="63">
        <f>Historicals!D14</f>
        <v>2.56</v>
      </c>
      <c r="E16" s="63">
        <f>Historicals!E14</f>
        <v>1.19</v>
      </c>
      <c r="F16" s="63">
        <f>Historicals!F14</f>
        <v>2.5499999999999998</v>
      </c>
      <c r="G16" s="63">
        <f>Historicals!G14</f>
        <v>1.63</v>
      </c>
      <c r="H16" s="63">
        <f>Historicals!H14</f>
        <v>3.64</v>
      </c>
      <c r="I16" s="63">
        <f>Historicals!I14</f>
        <v>3.83</v>
      </c>
      <c r="J16" s="63"/>
      <c r="K16" s="63"/>
      <c r="L16" s="63"/>
      <c r="M16" s="63"/>
      <c r="N16" s="63"/>
    </row>
    <row r="17" spans="1:15" x14ac:dyDescent="0.3">
      <c r="A17" t="s">
        <v>162</v>
      </c>
      <c r="B17" s="63">
        <f>Historicals!B15</f>
        <v>1.85</v>
      </c>
      <c r="C17" s="63">
        <f>Historicals!C15</f>
        <v>2.16</v>
      </c>
      <c r="D17" s="63">
        <f>Historicals!D15</f>
        <v>2.5099999999999998</v>
      </c>
      <c r="E17" s="63">
        <f>Historicals!E15</f>
        <v>1.17</v>
      </c>
      <c r="F17" s="63">
        <f>Historicals!F15</f>
        <v>2.4900000000000002</v>
      </c>
      <c r="G17" s="63">
        <f>Historicals!G15</f>
        <v>1.6</v>
      </c>
      <c r="H17" s="63">
        <f>Historicals!H15</f>
        <v>3.56</v>
      </c>
      <c r="I17" s="63">
        <f>Historicals!I15</f>
        <v>3.75</v>
      </c>
      <c r="J17" s="63"/>
      <c r="K17" s="63"/>
      <c r="L17" s="63"/>
      <c r="M17" s="63"/>
      <c r="N17" s="63"/>
    </row>
    <row r="18" spans="1:15" x14ac:dyDescent="0.3">
      <c r="A18" s="60" t="s">
        <v>134</v>
      </c>
      <c r="B18" s="57" t="s">
        <v>140</v>
      </c>
      <c r="C18" s="57">
        <f t="shared" ref="C18:I18" si="1">C17/B17-1</f>
        <v>0.16756756756756763</v>
      </c>
      <c r="D18" s="57">
        <f t="shared" si="1"/>
        <v>0.16203703703703676</v>
      </c>
      <c r="E18" s="57">
        <f t="shared" si="1"/>
        <v>-0.53386454183266929</v>
      </c>
      <c r="F18" s="57">
        <f t="shared" si="1"/>
        <v>1.1282051282051286</v>
      </c>
      <c r="G18" s="57">
        <f t="shared" si="1"/>
        <v>-0.35742971887550201</v>
      </c>
      <c r="H18" s="57">
        <f t="shared" si="1"/>
        <v>1.2250000000000001</v>
      </c>
      <c r="I18" s="57">
        <f t="shared" si="1"/>
        <v>5.3370786516854007E-2</v>
      </c>
      <c r="J18" s="62"/>
      <c r="K18" s="62"/>
      <c r="L18" s="62"/>
      <c r="M18" s="62"/>
      <c r="N18" s="62"/>
      <c r="O18" t="s">
        <v>163</v>
      </c>
    </row>
    <row r="19" spans="1:15" x14ac:dyDescent="0.3">
      <c r="A19" s="60" t="s">
        <v>164</v>
      </c>
      <c r="B19" s="57">
        <f t="shared" ref="B19:I19" si="2">B17/B16</f>
        <v>0.97368421052631593</v>
      </c>
      <c r="C19" s="57">
        <f t="shared" si="2"/>
        <v>0.97737556561085981</v>
      </c>
      <c r="D19" s="57">
        <f t="shared" si="2"/>
        <v>0.98046874999999989</v>
      </c>
      <c r="E19" s="57">
        <f t="shared" si="2"/>
        <v>0.98319327731092432</v>
      </c>
      <c r="F19" s="57">
        <f t="shared" si="2"/>
        <v>0.97647058823529431</v>
      </c>
      <c r="G19" s="57">
        <f t="shared" si="2"/>
        <v>0.98159509202453998</v>
      </c>
      <c r="H19" s="57">
        <f t="shared" si="2"/>
        <v>0.97802197802197799</v>
      </c>
      <c r="I19" s="57">
        <f t="shared" si="2"/>
        <v>0.97911227154046998</v>
      </c>
      <c r="J19" s="57"/>
      <c r="K19" s="57"/>
      <c r="L19" s="57"/>
      <c r="M19" s="57"/>
      <c r="N19" s="57"/>
      <c r="O19" t="s">
        <v>163</v>
      </c>
    </row>
    <row r="20" spans="1:15" x14ac:dyDescent="0.3">
      <c r="A20" s="64" t="s">
        <v>165</v>
      </c>
      <c r="B20" s="42"/>
      <c r="C20" s="42"/>
      <c r="D20" s="42"/>
      <c r="E20" s="42"/>
      <c r="F20" s="42"/>
      <c r="G20" s="42"/>
      <c r="H20" s="42"/>
      <c r="I20" s="42"/>
      <c r="J20" s="41"/>
      <c r="K20" s="41"/>
      <c r="L20" s="41"/>
      <c r="M20" s="41"/>
      <c r="N20" s="41"/>
    </row>
    <row r="21" spans="1:15" x14ac:dyDescent="0.3">
      <c r="A21" t="s">
        <v>166</v>
      </c>
      <c r="B21" s="7">
        <f>Historicals!B25</f>
        <v>3852</v>
      </c>
      <c r="C21" s="7">
        <f>Historicals!C25</f>
        <v>3138</v>
      </c>
      <c r="D21" s="7">
        <f>Historicals!D25</f>
        <v>3808</v>
      </c>
      <c r="E21" s="7">
        <f>Historicals!E25</f>
        <v>4249</v>
      </c>
      <c r="F21" s="7">
        <f>Historicals!F25</f>
        <v>4466</v>
      </c>
      <c r="G21" s="7">
        <f>Historicals!G25</f>
        <v>8348</v>
      </c>
      <c r="H21" s="7">
        <f>Historicals!H25</f>
        <v>9889</v>
      </c>
      <c r="I21" s="7">
        <f>Historicals!I25</f>
        <v>8574</v>
      </c>
      <c r="J21" s="7"/>
      <c r="K21" s="7"/>
      <c r="L21" s="7"/>
      <c r="M21" s="7"/>
      <c r="N21" s="7"/>
    </row>
    <row r="22" spans="1:15" x14ac:dyDescent="0.3">
      <c r="A22" t="s">
        <v>167</v>
      </c>
      <c r="B22" s="7">
        <f>SUM(Historicals!B26:B28)</f>
        <v>9767</v>
      </c>
      <c r="C22" s="7">
        <f>SUM(Historicals!C26:C28)</f>
        <v>10398</v>
      </c>
      <c r="D22" s="7">
        <f>SUM(Historicals!D26:D28)</f>
        <v>11103</v>
      </c>
      <c r="E22" s="7">
        <f>SUM(Historicals!E26:E28)</f>
        <v>9755</v>
      </c>
      <c r="F22" s="7">
        <f>SUM(Historicals!F26:F28)</f>
        <v>10091</v>
      </c>
      <c r="G22" s="7">
        <f>SUM(Historicals!G26:G28)</f>
        <v>10555</v>
      </c>
      <c r="H22" s="7">
        <f>SUM(Historicals!H26:H28)</f>
        <v>14904</v>
      </c>
      <c r="I22" s="7">
        <f>SUM(Historicals!I26:I28)</f>
        <v>17510</v>
      </c>
      <c r="J22" s="7" t="s">
        <v>206</v>
      </c>
      <c r="K22" s="7"/>
      <c r="L22" s="7"/>
      <c r="M22" s="7"/>
      <c r="N22" s="7"/>
    </row>
    <row r="23" spans="1:15" x14ac:dyDescent="0.3">
      <c r="A23" t="s">
        <v>168</v>
      </c>
      <c r="B23" s="7">
        <v>0</v>
      </c>
      <c r="C23" s="7">
        <v>0</v>
      </c>
      <c r="D23" s="7">
        <v>0</v>
      </c>
      <c r="E23" s="7">
        <v>0</v>
      </c>
      <c r="F23" s="7">
        <v>0</v>
      </c>
      <c r="G23" s="7">
        <v>0</v>
      </c>
      <c r="H23" s="7">
        <v>0</v>
      </c>
      <c r="I23" s="7">
        <v>0</v>
      </c>
      <c r="J23" s="7"/>
      <c r="K23" s="7"/>
      <c r="L23" s="7"/>
      <c r="M23" s="7"/>
      <c r="N23" s="7"/>
    </row>
    <row r="24" spans="1:15" x14ac:dyDescent="0.3">
      <c r="A24" s="60" t="s">
        <v>169</v>
      </c>
      <c r="B24" s="57">
        <f t="shared" ref="B24:I24" si="3">B23/B3</f>
        <v>0</v>
      </c>
      <c r="C24" s="57">
        <f t="shared" si="3"/>
        <v>0</v>
      </c>
      <c r="D24" s="57">
        <f t="shared" si="3"/>
        <v>0</v>
      </c>
      <c r="E24" s="57">
        <f t="shared" si="3"/>
        <v>0</v>
      </c>
      <c r="F24" s="57">
        <f t="shared" si="3"/>
        <v>0</v>
      </c>
      <c r="G24" s="57">
        <f t="shared" si="3"/>
        <v>0</v>
      </c>
      <c r="H24" s="57">
        <f t="shared" si="3"/>
        <v>0</v>
      </c>
      <c r="I24" s="57">
        <f t="shared" si="3"/>
        <v>0</v>
      </c>
      <c r="J24" s="62"/>
      <c r="K24" s="62"/>
      <c r="L24" s="62"/>
      <c r="M24" s="62"/>
      <c r="N24" s="62"/>
    </row>
    <row r="25" spans="1:15" x14ac:dyDescent="0.3">
      <c r="A25" t="s">
        <v>170</v>
      </c>
      <c r="B25" s="7">
        <f>Historicals!B29</f>
        <v>1968</v>
      </c>
      <c r="C25" s="7">
        <f>Historicals!C29</f>
        <v>1489</v>
      </c>
      <c r="D25" s="7">
        <f>Historicals!D29</f>
        <v>1150</v>
      </c>
      <c r="E25" s="7">
        <f>Historicals!E29</f>
        <v>1130</v>
      </c>
      <c r="F25" s="7">
        <f>Historicals!F29</f>
        <v>1968</v>
      </c>
      <c r="G25" s="7">
        <f>Historicals!G29</f>
        <v>1653</v>
      </c>
      <c r="H25" s="7">
        <f>Historicals!H29</f>
        <v>1498</v>
      </c>
      <c r="I25" s="7">
        <f>Historicals!I29</f>
        <v>2129</v>
      </c>
      <c r="J25" s="7"/>
      <c r="K25" s="7"/>
      <c r="L25" s="7"/>
      <c r="M25" s="7"/>
      <c r="N25" s="7"/>
    </row>
    <row r="26" spans="1:15" x14ac:dyDescent="0.3">
      <c r="A26" t="s">
        <v>171</v>
      </c>
      <c r="B26" s="7">
        <f>Historicals!B31</f>
        <v>3011</v>
      </c>
      <c r="C26" s="7">
        <f>Historicals!C31</f>
        <v>3520</v>
      </c>
      <c r="D26" s="7">
        <f>Historicals!D31</f>
        <v>3989</v>
      </c>
      <c r="E26" s="7">
        <f>Historicals!E31</f>
        <v>4454</v>
      </c>
      <c r="F26" s="7">
        <f>Historicals!F31</f>
        <v>4744</v>
      </c>
      <c r="G26" s="7">
        <f>Historicals!G31</f>
        <v>4866</v>
      </c>
      <c r="H26" s="7">
        <f>Historicals!H31</f>
        <v>4904</v>
      </c>
      <c r="I26" s="7">
        <f>Historicals!I31</f>
        <v>4791</v>
      </c>
      <c r="J26" s="7"/>
      <c r="K26" s="7"/>
      <c r="L26" s="7"/>
      <c r="M26" s="7"/>
      <c r="N26" s="7"/>
    </row>
    <row r="27" spans="1:15" x14ac:dyDescent="0.3">
      <c r="A27" t="s">
        <v>172</v>
      </c>
      <c r="B27" s="7">
        <f>Historicals!B33</f>
        <v>281</v>
      </c>
      <c r="C27" s="7">
        <f>Historicals!C33</f>
        <v>281</v>
      </c>
      <c r="D27" s="7">
        <f>Historicals!D33</f>
        <v>283</v>
      </c>
      <c r="E27" s="7">
        <f>Historicals!E33</f>
        <v>285</v>
      </c>
      <c r="F27" s="7">
        <f>Historicals!F33</f>
        <v>283</v>
      </c>
      <c r="G27" s="7">
        <f>Historicals!G33</f>
        <v>274</v>
      </c>
      <c r="H27" s="7">
        <f>Historicals!H33</f>
        <v>269</v>
      </c>
      <c r="I27" s="7">
        <f>Historicals!I33</f>
        <v>286</v>
      </c>
      <c r="J27" s="7"/>
      <c r="K27" s="7"/>
      <c r="L27" s="7"/>
      <c r="M27" s="7"/>
      <c r="N27" s="7"/>
    </row>
    <row r="28" spans="1:15" x14ac:dyDescent="0.3">
      <c r="A28" t="s">
        <v>33</v>
      </c>
      <c r="B28" s="7">
        <f>Historicals!B34</f>
        <v>131</v>
      </c>
      <c r="C28" s="7">
        <f>Historicals!C34</f>
        <v>131</v>
      </c>
      <c r="D28" s="7">
        <f>Historicals!D34</f>
        <v>139</v>
      </c>
      <c r="E28" s="7">
        <f>Historicals!E34</f>
        <v>154</v>
      </c>
      <c r="F28" s="7">
        <f>Historicals!F34</f>
        <v>154</v>
      </c>
      <c r="G28" s="7">
        <f>Historicals!G34</f>
        <v>223</v>
      </c>
      <c r="H28" s="7">
        <f>Historicals!H34</f>
        <v>242</v>
      </c>
      <c r="I28" s="7">
        <f>Historicals!I34</f>
        <v>284</v>
      </c>
      <c r="J28" s="7"/>
      <c r="K28" s="7"/>
      <c r="L28" s="7"/>
      <c r="M28" s="7"/>
      <c r="N28" s="7"/>
    </row>
    <row r="29" spans="1:15" x14ac:dyDescent="0.3">
      <c r="A29" s="65" t="s">
        <v>31</v>
      </c>
      <c r="B29" s="7">
        <f>Historicals!B32</f>
        <v>3</v>
      </c>
      <c r="C29" s="7">
        <f>Historicals!C32</f>
        <v>0</v>
      </c>
      <c r="D29" s="7">
        <f>Historicals!D32</f>
        <v>0</v>
      </c>
      <c r="E29" s="7">
        <f>Historicals!E32</f>
        <v>0</v>
      </c>
      <c r="F29" s="7">
        <f>Historicals!F32</f>
        <v>0</v>
      </c>
      <c r="G29" s="7">
        <f>Historicals!G32</f>
        <v>3097</v>
      </c>
      <c r="H29" s="7">
        <f>Historicals!H32</f>
        <v>3113</v>
      </c>
      <c r="I29" s="7">
        <f>Historicals!I32</f>
        <v>2926</v>
      </c>
      <c r="J29" s="7"/>
      <c r="K29" s="7"/>
      <c r="L29" s="7"/>
      <c r="M29" s="7"/>
      <c r="N29" s="7"/>
    </row>
    <row r="30" spans="1:15" x14ac:dyDescent="0.3">
      <c r="A30" t="s">
        <v>173</v>
      </c>
      <c r="B30" s="7">
        <f>Historicals!B35</f>
        <v>2587</v>
      </c>
      <c r="C30" s="7">
        <f>Historicals!C35</f>
        <v>2439</v>
      </c>
      <c r="D30" s="7">
        <f>Historicals!D35</f>
        <v>2787</v>
      </c>
      <c r="E30" s="7">
        <f>Historicals!E35</f>
        <v>2509</v>
      </c>
      <c r="F30" s="7">
        <f>Historicals!F35</f>
        <v>2011</v>
      </c>
      <c r="G30" s="7">
        <f>Historicals!G35</f>
        <v>2326</v>
      </c>
      <c r="H30" s="7">
        <f>Historicals!H35</f>
        <v>2921</v>
      </c>
      <c r="I30" s="7">
        <f>Historicals!I35</f>
        <v>3821</v>
      </c>
      <c r="J30" s="7"/>
      <c r="K30" s="7"/>
      <c r="L30" s="7"/>
      <c r="M30" s="7"/>
      <c r="N30" s="7"/>
    </row>
    <row r="31" spans="1:15" x14ac:dyDescent="0.3">
      <c r="A31" s="18" t="s">
        <v>174</v>
      </c>
      <c r="B31" s="19">
        <f t="shared" ref="B31:I31" si="4">SUM(B21:B30)</f>
        <v>21600</v>
      </c>
      <c r="C31" s="19">
        <f t="shared" si="4"/>
        <v>21396</v>
      </c>
      <c r="D31" s="19">
        <f t="shared" si="4"/>
        <v>23259</v>
      </c>
      <c r="E31" s="19">
        <f t="shared" si="4"/>
        <v>22536</v>
      </c>
      <c r="F31" s="19">
        <f t="shared" si="4"/>
        <v>23717</v>
      </c>
      <c r="G31" s="19">
        <f t="shared" si="4"/>
        <v>31342</v>
      </c>
      <c r="H31" s="19">
        <f t="shared" si="4"/>
        <v>37740</v>
      </c>
      <c r="I31" s="19">
        <f t="shared" si="4"/>
        <v>40321</v>
      </c>
      <c r="J31" s="19"/>
      <c r="K31" s="19"/>
      <c r="L31" s="19"/>
      <c r="M31" s="19"/>
      <c r="N31" s="19"/>
    </row>
    <row r="32" spans="1:15" x14ac:dyDescent="0.3">
      <c r="A32" t="s">
        <v>175</v>
      </c>
      <c r="B32" s="7"/>
      <c r="C32" s="7"/>
      <c r="D32" s="7"/>
      <c r="E32" s="7"/>
      <c r="F32" s="7"/>
      <c r="G32" s="7"/>
      <c r="H32" s="7"/>
      <c r="I32" s="7"/>
      <c r="J32" s="7"/>
      <c r="K32" s="7"/>
      <c r="L32" s="7"/>
      <c r="M32" s="7"/>
      <c r="N32" s="7"/>
    </row>
    <row r="33" spans="1:14" x14ac:dyDescent="0.3">
      <c r="A33" s="15" t="s">
        <v>38</v>
      </c>
      <c r="B33" s="7">
        <f>Historicals!B39</f>
        <v>107</v>
      </c>
      <c r="C33" s="7">
        <f>Historicals!C39</f>
        <v>44</v>
      </c>
      <c r="D33" s="7">
        <f>Historicals!D39</f>
        <v>6</v>
      </c>
      <c r="E33" s="7">
        <f>Historicals!E39</f>
        <v>6</v>
      </c>
      <c r="F33" s="7">
        <f>Historicals!F39</f>
        <v>6</v>
      </c>
      <c r="G33" s="7">
        <f>Historicals!G39</f>
        <v>3</v>
      </c>
      <c r="H33" s="7">
        <f>Historicals!H39</f>
        <v>0</v>
      </c>
      <c r="I33" s="7">
        <f>Historicals!I39</f>
        <v>500</v>
      </c>
      <c r="J33" s="7"/>
      <c r="K33" s="7"/>
      <c r="L33" s="7"/>
      <c r="M33" s="7"/>
      <c r="N33" s="7"/>
    </row>
    <row r="34" spans="1:14" x14ac:dyDescent="0.3">
      <c r="A34" s="15" t="s">
        <v>39</v>
      </c>
      <c r="B34" s="7">
        <f>Historicals!B40</f>
        <v>74</v>
      </c>
      <c r="C34" s="7">
        <f>Historicals!C40</f>
        <v>1</v>
      </c>
      <c r="D34" s="7">
        <f>Historicals!D40</f>
        <v>325</v>
      </c>
      <c r="E34" s="7">
        <f>Historicals!E40</f>
        <v>336</v>
      </c>
      <c r="F34" s="7">
        <f>Historicals!F40</f>
        <v>9</v>
      </c>
      <c r="G34" s="7">
        <f>Historicals!G40</f>
        <v>248</v>
      </c>
      <c r="H34" s="7">
        <f>Historicals!H40</f>
        <v>2</v>
      </c>
      <c r="I34" s="7">
        <f>Historicals!I40</f>
        <v>10</v>
      </c>
      <c r="J34" s="7"/>
      <c r="K34" s="7"/>
      <c r="L34" s="7"/>
      <c r="M34" s="7"/>
      <c r="N34" s="7"/>
    </row>
    <row r="35" spans="1:14" x14ac:dyDescent="0.3">
      <c r="A35" t="s">
        <v>176</v>
      </c>
      <c r="B35" s="7">
        <f>SUM(Historicals!B41:B44)</f>
        <v>6151</v>
      </c>
      <c r="C35" s="7">
        <f>SUM(Historicals!C41:C44)</f>
        <v>5313</v>
      </c>
      <c r="D35" s="7">
        <f>SUM(Historicals!D41:D44)</f>
        <v>5143</v>
      </c>
      <c r="E35" s="7">
        <f>SUM(Historicals!E41:E44)</f>
        <v>5698</v>
      </c>
      <c r="F35" s="7">
        <f>SUM(Historicals!F41:F44)</f>
        <v>7851</v>
      </c>
      <c r="G35" s="7">
        <f>SUM(Historicals!G41:G44)</f>
        <v>8033</v>
      </c>
      <c r="H35" s="7">
        <f>SUM(Historicals!H41:H44)</f>
        <v>9672</v>
      </c>
      <c r="I35" s="7">
        <f>SUM(Historicals!I41:I44)</f>
        <v>10220</v>
      </c>
      <c r="J35" s="7" t="s">
        <v>207</v>
      </c>
      <c r="K35" s="7"/>
      <c r="L35" s="7"/>
      <c r="M35" s="7"/>
      <c r="N35" s="7"/>
    </row>
    <row r="36" spans="1:14" x14ac:dyDescent="0.3">
      <c r="A36" t="s">
        <v>45</v>
      </c>
      <c r="B36" s="7">
        <f>Historicals!B46</f>
        <v>1079</v>
      </c>
      <c r="C36" s="7">
        <f>Historicals!C46</f>
        <v>2010</v>
      </c>
      <c r="D36" s="7">
        <f>Historicals!D46</f>
        <v>3471</v>
      </c>
      <c r="E36" s="7">
        <f>Historicals!E46</f>
        <v>3468</v>
      </c>
      <c r="F36" s="7">
        <f>Historicals!F46</f>
        <v>3464</v>
      </c>
      <c r="G36" s="7">
        <f>Historicals!G46</f>
        <v>9406</v>
      </c>
      <c r="H36" s="7">
        <f>Historicals!H46</f>
        <v>9413</v>
      </c>
      <c r="I36" s="7">
        <f>Historicals!I46</f>
        <v>8920</v>
      </c>
      <c r="J36" s="7"/>
      <c r="K36" s="7"/>
      <c r="L36" s="7"/>
      <c r="M36" s="7"/>
      <c r="N36" s="7"/>
    </row>
    <row r="37" spans="1:14" x14ac:dyDescent="0.3">
      <c r="A37" s="65" t="s">
        <v>46</v>
      </c>
      <c r="B37" s="7">
        <f>Historicals!B47</f>
        <v>3</v>
      </c>
      <c r="C37" s="7">
        <f>Historicals!C47</f>
        <v>0</v>
      </c>
      <c r="D37" s="7">
        <f>Historicals!D47</f>
        <v>0</v>
      </c>
      <c r="E37" s="7">
        <f>Historicals!E47</f>
        <v>0</v>
      </c>
      <c r="F37" s="7">
        <f>Historicals!F47</f>
        <v>0</v>
      </c>
      <c r="G37" s="7">
        <f>Historicals!G47</f>
        <v>2913</v>
      </c>
      <c r="H37" s="7">
        <f>Historicals!H47</f>
        <v>2931</v>
      </c>
      <c r="I37" s="7">
        <f>Historicals!I47</f>
        <v>2777</v>
      </c>
      <c r="J37" s="7"/>
      <c r="K37" s="7"/>
      <c r="L37" s="7"/>
      <c r="M37" s="7"/>
      <c r="N37" s="7"/>
    </row>
    <row r="38" spans="1:14" x14ac:dyDescent="0.3">
      <c r="A38" t="s">
        <v>177</v>
      </c>
      <c r="B38" s="7">
        <f>Historicals!B48</f>
        <v>1479</v>
      </c>
      <c r="C38" s="7">
        <f>Historicals!C48</f>
        <v>1770</v>
      </c>
      <c r="D38" s="7">
        <f>Historicals!D48</f>
        <v>1907</v>
      </c>
      <c r="E38" s="7">
        <f>Historicals!E48</f>
        <v>3216</v>
      </c>
      <c r="F38" s="7">
        <f>Historicals!F48</f>
        <v>3347</v>
      </c>
      <c r="G38" s="7">
        <f>Historicals!G48</f>
        <v>2684</v>
      </c>
      <c r="H38" s="7">
        <f>Historicals!H48</f>
        <v>2955</v>
      </c>
      <c r="I38" s="7">
        <f>Historicals!I48</f>
        <v>2613</v>
      </c>
      <c r="J38" s="7"/>
      <c r="K38" s="7"/>
      <c r="L38" s="7"/>
      <c r="M38" s="7"/>
      <c r="N38" s="7"/>
    </row>
    <row r="39" spans="1:14" x14ac:dyDescent="0.3">
      <c r="A39" t="s">
        <v>178</v>
      </c>
      <c r="B39" s="7"/>
      <c r="C39" s="7"/>
      <c r="D39" s="7"/>
      <c r="E39" s="7"/>
      <c r="F39" s="7"/>
      <c r="G39" s="7"/>
      <c r="H39" s="7"/>
      <c r="I39" s="7"/>
      <c r="J39" s="7"/>
      <c r="K39" s="7"/>
      <c r="L39" s="7"/>
      <c r="M39" s="7"/>
      <c r="N39" s="7"/>
    </row>
    <row r="40" spans="1:14" x14ac:dyDescent="0.3">
      <c r="A40" s="15" t="s">
        <v>179</v>
      </c>
      <c r="B40" s="7">
        <f>Historicals!B54</f>
        <v>3</v>
      </c>
      <c r="C40" s="7">
        <f>Historicals!C54</f>
        <v>3</v>
      </c>
      <c r="D40" s="7">
        <f>Historicals!D54</f>
        <v>3</v>
      </c>
      <c r="E40" s="7">
        <f>Historicals!E54</f>
        <v>3</v>
      </c>
      <c r="F40" s="7">
        <f>Historicals!F54</f>
        <v>3</v>
      </c>
      <c r="G40" s="7">
        <f>Historicals!G54</f>
        <v>3</v>
      </c>
      <c r="H40" s="7">
        <f>Historicals!H54</f>
        <v>3</v>
      </c>
      <c r="I40" s="7">
        <f>Historicals!I54</f>
        <v>3</v>
      </c>
      <c r="J40" s="7"/>
      <c r="K40" s="7"/>
      <c r="L40" s="7"/>
      <c r="M40" s="7"/>
      <c r="N40" s="7"/>
    </row>
    <row r="41" spans="1:14" x14ac:dyDescent="0.3">
      <c r="A41" s="15" t="s">
        <v>180</v>
      </c>
      <c r="B41" s="7">
        <f>Historicals!B57</f>
        <v>4685</v>
      </c>
      <c r="C41" s="7">
        <f>Historicals!C57</f>
        <v>4151</v>
      </c>
      <c r="D41" s="7">
        <f>Historicals!D57</f>
        <v>6907</v>
      </c>
      <c r="E41" s="7">
        <f>Historicals!E57</f>
        <v>3517</v>
      </c>
      <c r="F41" s="7">
        <f>Historicals!F57</f>
        <v>1643</v>
      </c>
      <c r="G41" s="7">
        <f>Historicals!G57</f>
        <v>-191</v>
      </c>
      <c r="H41" s="7">
        <f>Historicals!H57</f>
        <v>3179</v>
      </c>
      <c r="I41" s="7">
        <f>Historicals!I57</f>
        <v>3476</v>
      </c>
      <c r="J41" s="7"/>
      <c r="K41" s="7"/>
      <c r="L41" s="7"/>
      <c r="M41" s="7"/>
      <c r="N41" s="7"/>
    </row>
    <row r="42" spans="1:14" x14ac:dyDescent="0.3">
      <c r="A42" s="15" t="s">
        <v>181</v>
      </c>
      <c r="B42" s="7">
        <f>Historicals!B55+Historicals!B56</f>
        <v>8019</v>
      </c>
      <c r="C42" s="7">
        <f>Historicals!C55+Historicals!C56</f>
        <v>8104</v>
      </c>
      <c r="D42" s="7">
        <f>Historicals!D55+Historicals!D56</f>
        <v>5497</v>
      </c>
      <c r="E42" s="7">
        <f>Historicals!E55+Historicals!E56</f>
        <v>6292</v>
      </c>
      <c r="F42" s="7">
        <f>Historicals!F55+Historicals!F56</f>
        <v>7394</v>
      </c>
      <c r="G42" s="7">
        <f>Historicals!G55+Historicals!G56</f>
        <v>8243</v>
      </c>
      <c r="H42" s="7">
        <f>Historicals!H55+Historicals!H56</f>
        <v>9585</v>
      </c>
      <c r="I42" s="7">
        <f>Historicals!I55+Historicals!I56</f>
        <v>11802</v>
      </c>
      <c r="J42" s="7"/>
      <c r="K42" s="7"/>
      <c r="L42" s="7"/>
      <c r="M42" s="7"/>
      <c r="N42" s="7"/>
    </row>
    <row r="43" spans="1:14" x14ac:dyDescent="0.3">
      <c r="A43" s="18" t="s">
        <v>182</v>
      </c>
      <c r="B43" s="19">
        <f t="shared" ref="B43:I43" si="5">SUM(B32:B42)</f>
        <v>21600</v>
      </c>
      <c r="C43" s="19">
        <f t="shared" si="5"/>
        <v>21396</v>
      </c>
      <c r="D43" s="19">
        <f t="shared" si="5"/>
        <v>23259</v>
      </c>
      <c r="E43" s="19">
        <f t="shared" si="5"/>
        <v>22536</v>
      </c>
      <c r="F43" s="19">
        <f t="shared" si="5"/>
        <v>23717</v>
      </c>
      <c r="G43" s="19">
        <f t="shared" si="5"/>
        <v>31342</v>
      </c>
      <c r="H43" s="19">
        <f t="shared" si="5"/>
        <v>37740</v>
      </c>
      <c r="I43" s="19">
        <f t="shared" si="5"/>
        <v>40321</v>
      </c>
      <c r="J43" s="19"/>
      <c r="K43" s="19"/>
      <c r="L43" s="19"/>
      <c r="M43" s="19"/>
      <c r="N43" s="19"/>
    </row>
    <row r="44" spans="1:14" x14ac:dyDescent="0.3">
      <c r="A44" s="66" t="s">
        <v>183</v>
      </c>
      <c r="B44" s="66"/>
      <c r="C44" s="66"/>
      <c r="D44" s="66"/>
      <c r="E44" s="66"/>
      <c r="F44" s="66"/>
      <c r="G44" s="66"/>
      <c r="H44" s="66"/>
      <c r="I44" s="66"/>
      <c r="J44" s="66"/>
      <c r="K44" s="66"/>
      <c r="L44" s="66"/>
      <c r="M44" s="66"/>
      <c r="N44" s="66"/>
    </row>
    <row r="45" spans="1:14" x14ac:dyDescent="0.3">
      <c r="A45" s="64" t="s">
        <v>184</v>
      </c>
      <c r="B45" s="42"/>
      <c r="C45" s="42"/>
      <c r="D45" s="42"/>
      <c r="E45" s="42"/>
      <c r="F45" s="42"/>
      <c r="G45" s="42"/>
      <c r="H45" s="42"/>
      <c r="I45" s="42"/>
      <c r="J45" s="41"/>
      <c r="K45" s="41"/>
      <c r="L45" s="41"/>
      <c r="M45" s="41"/>
      <c r="N45" s="41"/>
    </row>
    <row r="46" spans="1:14" x14ac:dyDescent="0.3">
      <c r="A46" s="10" t="s">
        <v>142</v>
      </c>
      <c r="B46" s="67">
        <v>3273</v>
      </c>
      <c r="C46" s="67">
        <v>3760</v>
      </c>
      <c r="D46" s="67">
        <v>4240</v>
      </c>
      <c r="E46" s="67">
        <v>1933</v>
      </c>
      <c r="F46" s="67">
        <v>4029</v>
      </c>
      <c r="G46" s="67">
        <v>2539</v>
      </c>
      <c r="H46" s="67">
        <v>5727</v>
      </c>
      <c r="I46" s="67">
        <v>6046</v>
      </c>
      <c r="J46" s="11"/>
      <c r="K46" s="11"/>
      <c r="L46" s="11"/>
      <c r="M46" s="11"/>
      <c r="N46" s="11"/>
    </row>
    <row r="47" spans="1:14" x14ac:dyDescent="0.3">
      <c r="A47" t="s">
        <v>138</v>
      </c>
      <c r="B47" s="68">
        <f>606+43</f>
        <v>649</v>
      </c>
      <c r="C47" s="68">
        <f>649+13</f>
        <v>662</v>
      </c>
      <c r="D47" s="68">
        <f>706+10</f>
        <v>716</v>
      </c>
      <c r="E47" s="68">
        <f>747+27</f>
        <v>774</v>
      </c>
      <c r="F47" s="68">
        <f>705+15</f>
        <v>720</v>
      </c>
      <c r="G47" s="68">
        <f>721+398</f>
        <v>1119</v>
      </c>
      <c r="H47" s="68">
        <f>744+53</f>
        <v>797</v>
      </c>
      <c r="I47" s="68">
        <f>717+123</f>
        <v>840</v>
      </c>
      <c r="J47" s="69"/>
      <c r="K47" s="69"/>
      <c r="L47" s="69"/>
      <c r="M47" s="69"/>
      <c r="N47" s="69"/>
    </row>
    <row r="48" spans="1:14" x14ac:dyDescent="0.3">
      <c r="A48" t="s">
        <v>185</v>
      </c>
      <c r="B48" s="70">
        <v>-113</v>
      </c>
      <c r="C48" s="70">
        <v>-80</v>
      </c>
      <c r="D48" s="70">
        <v>-273</v>
      </c>
      <c r="E48" s="70">
        <v>647</v>
      </c>
      <c r="F48" s="70">
        <v>34</v>
      </c>
      <c r="G48" s="70">
        <v>-380</v>
      </c>
      <c r="H48" s="70">
        <v>-385</v>
      </c>
      <c r="I48" s="70">
        <v>-650</v>
      </c>
      <c r="J48" s="7"/>
      <c r="K48" s="7"/>
      <c r="L48" s="7"/>
      <c r="M48" s="7"/>
      <c r="N48" s="7"/>
    </row>
    <row r="49" spans="1:14" x14ac:dyDescent="0.3">
      <c r="A49" s="10" t="s">
        <v>186</v>
      </c>
      <c r="B49" s="67">
        <f>B46*(1-0.222)</f>
        <v>2546.3940000000002</v>
      </c>
      <c r="C49" s="67">
        <f>C46*(1-0.187)</f>
        <v>3056.8799999999997</v>
      </c>
      <c r="D49" s="67">
        <f>D46*(1-0.132)</f>
        <v>3680.32</v>
      </c>
      <c r="E49" s="67">
        <f>E46*(1-0.553)</f>
        <v>864.05099999999993</v>
      </c>
      <c r="F49" s="67">
        <f>F46*(1-0.161)</f>
        <v>3380.3309999999997</v>
      </c>
      <c r="G49" s="67">
        <f>G46*(1-0.121)</f>
        <v>2231.7809999999999</v>
      </c>
      <c r="H49" s="67">
        <f>H46*(1-0.14)</f>
        <v>4925.22</v>
      </c>
      <c r="I49" s="67">
        <f>I46*(1-0.091)</f>
        <v>5495.8140000000003</v>
      </c>
      <c r="J49" s="11"/>
      <c r="K49" s="11"/>
      <c r="L49" s="11"/>
      <c r="M49" s="11"/>
      <c r="N49" s="11"/>
    </row>
    <row r="50" spans="1:14" x14ac:dyDescent="0.3">
      <c r="A50" t="s">
        <v>187</v>
      </c>
      <c r="B50" s="70">
        <v>53</v>
      </c>
      <c r="C50" s="70">
        <v>70</v>
      </c>
      <c r="D50" s="70">
        <v>98</v>
      </c>
      <c r="E50" s="70">
        <v>125</v>
      </c>
      <c r="F50" s="70">
        <v>153</v>
      </c>
      <c r="G50" s="70">
        <v>140</v>
      </c>
      <c r="H50" s="70">
        <v>293</v>
      </c>
      <c r="I50" s="70">
        <v>290</v>
      </c>
      <c r="J50" s="7"/>
      <c r="K50" s="7"/>
      <c r="L50" s="7"/>
      <c r="M50" s="7"/>
      <c r="N50" s="7"/>
    </row>
    <row r="51" spans="1:14" x14ac:dyDescent="0.3">
      <c r="A51" t="s">
        <v>188</v>
      </c>
      <c r="B51" s="71">
        <f>-216-621-144+1237</f>
        <v>256</v>
      </c>
      <c r="C51" s="70">
        <f>60-590-161-889</f>
        <v>-1580</v>
      </c>
      <c r="D51" s="70">
        <f>-426-231-120-158</f>
        <v>-935</v>
      </c>
      <c r="E51" s="70">
        <f>187-255+35+1515</f>
        <v>1482</v>
      </c>
      <c r="F51" s="70">
        <f>-270-490-203+1525</f>
        <v>562</v>
      </c>
      <c r="G51" s="70">
        <f>1239-1854-654+24</f>
        <v>-1245</v>
      </c>
      <c r="H51" s="70">
        <f>-1606+507-182+1326</f>
        <v>45</v>
      </c>
      <c r="I51" s="70">
        <f>-504-1676-845+1365</f>
        <v>-1660</v>
      </c>
      <c r="J51" s="7"/>
      <c r="K51" s="7"/>
      <c r="L51" s="7"/>
      <c r="M51" s="7"/>
      <c r="N51" s="7"/>
    </row>
    <row r="52" spans="1:14" x14ac:dyDescent="0.3">
      <c r="A52" t="s">
        <v>144</v>
      </c>
      <c r="B52" s="70">
        <f>-963+3</f>
        <v>-960</v>
      </c>
      <c r="C52" s="70">
        <f>-1143+10</f>
        <v>-1133</v>
      </c>
      <c r="D52" s="70">
        <f>-1105+13</f>
        <v>-1092</v>
      </c>
      <c r="E52" s="70">
        <f>-1028+3</f>
        <v>-1025</v>
      </c>
      <c r="F52" s="70">
        <f>-1119+5</f>
        <v>-1114</v>
      </c>
      <c r="G52" s="70">
        <f>-1086</f>
        <v>-1086</v>
      </c>
      <c r="H52" s="70">
        <f>-695</f>
        <v>-695</v>
      </c>
      <c r="I52" s="70">
        <f>-758</f>
        <v>-758</v>
      </c>
      <c r="J52" s="7"/>
      <c r="K52" s="7"/>
      <c r="L52" s="7"/>
      <c r="M52" s="7"/>
      <c r="N52" s="7"/>
    </row>
    <row r="53" spans="1:14" x14ac:dyDescent="0.3">
      <c r="A53" s="10" t="s">
        <v>189</v>
      </c>
      <c r="B53" s="67">
        <f>B55+(28*1-0.222)-B26</f>
        <v>1696.7780000000002</v>
      </c>
      <c r="C53" s="67">
        <f>C55+(19*1-0.187)-C26</f>
        <v>-405.1869999999999</v>
      </c>
      <c r="D53" s="67">
        <f>D55+(59*1-0.132)-D26</f>
        <v>-84.132000000000062</v>
      </c>
      <c r="E53" s="67">
        <f>E55+(54*1-0.553)-E26</f>
        <v>554.44700000000012</v>
      </c>
      <c r="F53" s="67">
        <f>F55+(49*1-0.161)-F26</f>
        <v>1207.8389999999999</v>
      </c>
      <c r="G53" s="67">
        <f>G55+(89*1-0.121)-G26</f>
        <v>-2292.1210000000001</v>
      </c>
      <c r="H53" s="67">
        <f>H55+(262*1-0.14)-H26</f>
        <v>2014.8599999999997</v>
      </c>
      <c r="I53" s="67">
        <f>I55+(205*1-0.091)-I26</f>
        <v>601.90899999999965</v>
      </c>
      <c r="J53" s="11"/>
      <c r="K53" s="11"/>
      <c r="L53" s="11"/>
      <c r="M53" s="11"/>
      <c r="N53" s="11"/>
    </row>
    <row r="54" spans="1:14" x14ac:dyDescent="0.3">
      <c r="A54" t="s">
        <v>190</v>
      </c>
      <c r="B54" s="7">
        <v>0</v>
      </c>
      <c r="C54" s="7">
        <v>0</v>
      </c>
      <c r="D54" s="7">
        <v>0</v>
      </c>
      <c r="E54" s="7">
        <v>0</v>
      </c>
      <c r="F54" s="7">
        <v>0</v>
      </c>
      <c r="G54" s="7">
        <v>0</v>
      </c>
      <c r="H54" s="7">
        <v>0</v>
      </c>
      <c r="I54" s="7">
        <v>0</v>
      </c>
      <c r="J54" s="7"/>
      <c r="K54" s="7"/>
      <c r="L54" s="7"/>
      <c r="M54" s="7"/>
      <c r="N54" s="7"/>
    </row>
    <row r="55" spans="1:14" x14ac:dyDescent="0.3">
      <c r="A55" s="28" t="s">
        <v>191</v>
      </c>
      <c r="B55" s="72">
        <f>4680</f>
        <v>4680</v>
      </c>
      <c r="C55" s="72">
        <f>3096</f>
        <v>3096</v>
      </c>
      <c r="D55" s="72">
        <f>3846</f>
        <v>3846</v>
      </c>
      <c r="E55" s="72">
        <f>4955</f>
        <v>4955</v>
      </c>
      <c r="F55" s="72">
        <f>5903</f>
        <v>5903</v>
      </c>
      <c r="G55" s="72">
        <f>2485</f>
        <v>2485</v>
      </c>
      <c r="H55" s="72">
        <f>6657</f>
        <v>6657</v>
      </c>
      <c r="I55" s="72">
        <f>5188</f>
        <v>5188</v>
      </c>
      <c r="J55" s="27"/>
      <c r="K55" s="27"/>
      <c r="L55" s="27"/>
      <c r="M55" s="27"/>
      <c r="N55" s="27"/>
    </row>
    <row r="56" spans="1:14" x14ac:dyDescent="0.3">
      <c r="A56" t="s">
        <v>192</v>
      </c>
      <c r="B56" s="70">
        <v>17</v>
      </c>
      <c r="C56" s="70">
        <v>16</v>
      </c>
      <c r="D56" s="70">
        <v>2</v>
      </c>
      <c r="E56" s="70">
        <v>4</v>
      </c>
      <c r="F56" s="70">
        <v>2</v>
      </c>
      <c r="G56" s="70">
        <v>28</v>
      </c>
      <c r="H56" s="70">
        <v>23</v>
      </c>
      <c r="I56" s="70">
        <v>27</v>
      </c>
      <c r="J56" s="7"/>
      <c r="K56" s="7"/>
      <c r="L56" s="7"/>
      <c r="M56" s="7"/>
      <c r="N56" s="7"/>
    </row>
    <row r="57" spans="1:14" x14ac:dyDescent="0.3">
      <c r="A57" t="s">
        <v>193</v>
      </c>
      <c r="B57" s="70">
        <v>0</v>
      </c>
      <c r="C57" s="70">
        <v>6</v>
      </c>
      <c r="D57" s="70">
        <f>-34</f>
        <v>-34</v>
      </c>
      <c r="E57" s="70">
        <f>-22</f>
        <v>-22</v>
      </c>
      <c r="F57" s="70">
        <v>5</v>
      </c>
      <c r="G57" s="70">
        <v>31</v>
      </c>
      <c r="H57" s="70">
        <v>171</v>
      </c>
      <c r="I57" s="70">
        <f>-19</f>
        <v>-19</v>
      </c>
      <c r="J57" s="7"/>
      <c r="K57" s="7"/>
      <c r="L57" s="7"/>
      <c r="M57" s="7"/>
      <c r="N57" s="7"/>
    </row>
    <row r="58" spans="1:14" x14ac:dyDescent="0.3">
      <c r="A58" s="28" t="s">
        <v>194</v>
      </c>
      <c r="B58" s="72">
        <f>-175</f>
        <v>-175</v>
      </c>
      <c r="C58" s="72">
        <f>-1034</f>
        <v>-1034</v>
      </c>
      <c r="D58" s="72">
        <f>-1008</f>
        <v>-1008</v>
      </c>
      <c r="E58" s="72">
        <v>276</v>
      </c>
      <c r="F58" s="72">
        <f>-264</f>
        <v>-264</v>
      </c>
      <c r="G58" s="72">
        <f>-1028</f>
        <v>-1028</v>
      </c>
      <c r="H58" s="72">
        <f>-3800</f>
        <v>-3800</v>
      </c>
      <c r="I58" s="72">
        <f>-1524</f>
        <v>-1524</v>
      </c>
      <c r="J58" s="27"/>
      <c r="K58" s="27"/>
      <c r="L58" s="27"/>
      <c r="M58" s="27"/>
      <c r="N58" s="27"/>
    </row>
    <row r="59" spans="1:14" x14ac:dyDescent="0.3">
      <c r="A59" t="s">
        <v>195</v>
      </c>
      <c r="B59" s="70">
        <f>-2534</f>
        <v>-2534</v>
      </c>
      <c r="C59" s="70">
        <f>-3238</f>
        <v>-3238</v>
      </c>
      <c r="D59" s="70">
        <f>-3223</f>
        <v>-3223</v>
      </c>
      <c r="E59" s="70">
        <f>-4254</f>
        <v>-4254</v>
      </c>
      <c r="F59" s="70">
        <f>-4286</f>
        <v>-4286</v>
      </c>
      <c r="G59" s="70">
        <f>-3067</f>
        <v>-3067</v>
      </c>
      <c r="H59" s="70">
        <f>-608</f>
        <v>-608</v>
      </c>
      <c r="I59" s="70">
        <f>-4041</f>
        <v>-4041</v>
      </c>
      <c r="J59" s="7"/>
      <c r="K59" s="7"/>
      <c r="L59" s="73"/>
      <c r="M59" s="7"/>
      <c r="N59" s="7"/>
    </row>
    <row r="60" spans="1:14" x14ac:dyDescent="0.3">
      <c r="A60" s="60" t="s">
        <v>134</v>
      </c>
      <c r="B60" s="57" t="s">
        <v>140</v>
      </c>
      <c r="C60" s="57">
        <f t="shared" ref="C60:I60" si="6">C59/B59-1</f>
        <v>0.27782162588792425</v>
      </c>
      <c r="D60" s="57">
        <f t="shared" si="6"/>
        <v>-4.6324891908585686E-3</v>
      </c>
      <c r="E60" s="57">
        <f t="shared" si="6"/>
        <v>0.31988830282345648</v>
      </c>
      <c r="F60" s="57">
        <f t="shared" si="6"/>
        <v>7.5223319228960861E-3</v>
      </c>
      <c r="G60" s="57">
        <f t="shared" si="6"/>
        <v>-0.28441437237517497</v>
      </c>
      <c r="H60" s="57">
        <f t="shared" si="6"/>
        <v>-0.80176067818715357</v>
      </c>
      <c r="I60" s="57">
        <f t="shared" si="6"/>
        <v>5.6463815789473681</v>
      </c>
      <c r="J60" s="57"/>
      <c r="K60" s="57"/>
      <c r="L60" s="74"/>
      <c r="M60" s="62"/>
      <c r="N60" s="62"/>
    </row>
    <row r="61" spans="1:14" x14ac:dyDescent="0.3">
      <c r="A61" t="s">
        <v>196</v>
      </c>
      <c r="B61" s="70">
        <f>-899</f>
        <v>-899</v>
      </c>
      <c r="C61" s="70">
        <f>-1022</f>
        <v>-1022</v>
      </c>
      <c r="D61" s="70">
        <f>-1133</f>
        <v>-1133</v>
      </c>
      <c r="E61" s="70">
        <f>-1243</f>
        <v>-1243</v>
      </c>
      <c r="F61" s="70">
        <f>-1332</f>
        <v>-1332</v>
      </c>
      <c r="G61" s="70">
        <f>-1452</f>
        <v>-1452</v>
      </c>
      <c r="H61" s="70">
        <f>-1638</f>
        <v>-1638</v>
      </c>
      <c r="I61" s="70">
        <f>-1837</f>
        <v>-1837</v>
      </c>
      <c r="J61" s="7"/>
      <c r="K61" s="7"/>
      <c r="L61" s="7"/>
      <c r="M61" s="7"/>
      <c r="N61" s="7"/>
    </row>
    <row r="62" spans="1:14" x14ac:dyDescent="0.3">
      <c r="A62" t="s">
        <v>197</v>
      </c>
      <c r="B62" s="70">
        <v>0</v>
      </c>
      <c r="C62" s="70">
        <v>981</v>
      </c>
      <c r="D62" s="70">
        <v>1482</v>
      </c>
      <c r="E62" s="70">
        <v>0</v>
      </c>
      <c r="F62" s="70">
        <v>0</v>
      </c>
      <c r="G62" s="70">
        <f>6134-6</f>
        <v>6128</v>
      </c>
      <c r="H62" s="70">
        <f>0-197</f>
        <v>-197</v>
      </c>
      <c r="I62" s="70">
        <v>0</v>
      </c>
      <c r="J62" s="7"/>
      <c r="K62" s="7"/>
      <c r="L62" s="7"/>
      <c r="M62" s="7"/>
      <c r="N62" s="7"/>
    </row>
    <row r="63" spans="1:14" x14ac:dyDescent="0.3">
      <c r="A63" t="s">
        <v>198</v>
      </c>
      <c r="B63" s="70">
        <v>0</v>
      </c>
      <c r="C63" s="70">
        <v>0</v>
      </c>
      <c r="D63" s="70">
        <v>0</v>
      </c>
      <c r="E63" s="70">
        <f>-84</f>
        <v>-84</v>
      </c>
      <c r="F63" s="70">
        <f>-50</f>
        <v>-50</v>
      </c>
      <c r="G63" s="70">
        <f>-52</f>
        <v>-52</v>
      </c>
      <c r="H63" s="70">
        <f>-136</f>
        <v>-136</v>
      </c>
      <c r="I63" s="70">
        <f>-151</f>
        <v>-151</v>
      </c>
      <c r="J63" s="7"/>
      <c r="K63" s="7"/>
      <c r="L63" s="7"/>
      <c r="M63" s="7"/>
      <c r="N63" s="7"/>
    </row>
    <row r="64" spans="1:14" x14ac:dyDescent="0.3">
      <c r="A64" s="28" t="s">
        <v>199</v>
      </c>
      <c r="B64" s="72">
        <f>-2790</f>
        <v>-2790</v>
      </c>
      <c r="C64" s="72">
        <f>-2671</f>
        <v>-2671</v>
      </c>
      <c r="D64" s="72">
        <f>-2148</f>
        <v>-2148</v>
      </c>
      <c r="E64" s="72">
        <f>-4835</f>
        <v>-4835</v>
      </c>
      <c r="F64" s="72">
        <f>-5293</f>
        <v>-5293</v>
      </c>
      <c r="G64" s="72">
        <v>2491</v>
      </c>
      <c r="H64" s="72">
        <f>-1459</f>
        <v>-1459</v>
      </c>
      <c r="I64" s="72">
        <f>-4836</f>
        <v>-4836</v>
      </c>
      <c r="J64" s="27"/>
      <c r="K64" s="27"/>
      <c r="L64" s="27"/>
      <c r="M64" s="27"/>
      <c r="N64" s="27"/>
    </row>
    <row r="65" spans="1:14" x14ac:dyDescent="0.3">
      <c r="A65" t="s">
        <v>200</v>
      </c>
      <c r="B65" s="70">
        <f>-83</f>
        <v>-83</v>
      </c>
      <c r="C65" s="70">
        <f>-105</f>
        <v>-105</v>
      </c>
      <c r="D65" s="70">
        <f>-20</f>
        <v>-20</v>
      </c>
      <c r="E65" s="70">
        <v>45</v>
      </c>
      <c r="F65" s="70">
        <f>-129</f>
        <v>-129</v>
      </c>
      <c r="G65" s="70">
        <f>-66</f>
        <v>-66</v>
      </c>
      <c r="H65" s="70">
        <v>143</v>
      </c>
      <c r="I65" s="70">
        <f>-143</f>
        <v>-143</v>
      </c>
      <c r="J65" s="7"/>
      <c r="K65" s="7"/>
      <c r="L65" s="7"/>
      <c r="M65" s="7"/>
      <c r="N65" s="7"/>
    </row>
    <row r="66" spans="1:14" x14ac:dyDescent="0.3">
      <c r="A66" s="28" t="s">
        <v>201</v>
      </c>
      <c r="B66" s="27">
        <f>1632</f>
        <v>1632</v>
      </c>
      <c r="C66" s="27">
        <f>-714</f>
        <v>-714</v>
      </c>
      <c r="D66" s="27">
        <f>670</f>
        <v>670</v>
      </c>
      <c r="E66" s="27">
        <f>441</f>
        <v>441</v>
      </c>
      <c r="F66" s="27">
        <f>217</f>
        <v>217</v>
      </c>
      <c r="G66" s="27">
        <f>3882</f>
        <v>3882</v>
      </c>
      <c r="H66" s="27">
        <f>1541</f>
        <v>1541</v>
      </c>
      <c r="I66" s="27">
        <f>-1315</f>
        <v>-1315</v>
      </c>
      <c r="J66" s="27"/>
      <c r="K66" s="27"/>
      <c r="L66" s="27"/>
      <c r="M66" s="27"/>
      <c r="N66" s="27"/>
    </row>
    <row r="67" spans="1:14" x14ac:dyDescent="0.3">
      <c r="A67" t="s">
        <v>202</v>
      </c>
      <c r="B67" s="7">
        <f>Historicals!B95</f>
        <v>2220</v>
      </c>
      <c r="C67" s="7">
        <f>Historicals!C95</f>
        <v>3852</v>
      </c>
      <c r="D67" s="7">
        <f>Historicals!D95</f>
        <v>3138</v>
      </c>
      <c r="E67" s="7">
        <f>Historicals!E95</f>
        <v>3808</v>
      </c>
      <c r="F67" s="7">
        <f>Historicals!F95</f>
        <v>4249</v>
      </c>
      <c r="G67" s="7">
        <f>Historicals!G95</f>
        <v>4466</v>
      </c>
      <c r="H67" s="7">
        <f>Historicals!H95</f>
        <v>8348</v>
      </c>
      <c r="I67" s="7">
        <f>Historicals!I95</f>
        <v>9889</v>
      </c>
      <c r="J67" s="7"/>
      <c r="K67" s="7"/>
      <c r="L67" s="7"/>
      <c r="M67" s="7"/>
      <c r="N67" s="7"/>
    </row>
    <row r="68" spans="1:14" x14ac:dyDescent="0.3">
      <c r="A68" s="18" t="s">
        <v>203</v>
      </c>
      <c r="B68" s="19">
        <f>Historicals!B96</f>
        <v>3852</v>
      </c>
      <c r="C68" s="19">
        <f>Historicals!C96</f>
        <v>3138</v>
      </c>
      <c r="D68" s="19">
        <f>Historicals!D96</f>
        <v>3808</v>
      </c>
      <c r="E68" s="19">
        <f>Historicals!E96</f>
        <v>4249</v>
      </c>
      <c r="F68" s="19">
        <f>Historicals!F96</f>
        <v>4466</v>
      </c>
      <c r="G68" s="19">
        <f>Historicals!G96</f>
        <v>8348</v>
      </c>
      <c r="H68" s="19">
        <f>Historicals!H96</f>
        <v>9889</v>
      </c>
      <c r="I68" s="19">
        <f>Historicals!I96</f>
        <v>8574</v>
      </c>
      <c r="J68" s="19"/>
      <c r="K68" s="19"/>
      <c r="L68" s="19"/>
      <c r="M68" s="19"/>
      <c r="N68" s="19"/>
    </row>
    <row r="69" spans="1:14" x14ac:dyDescent="0.3">
      <c r="A69" s="10" t="s">
        <v>204</v>
      </c>
      <c r="B69" s="51">
        <f t="shared" ref="B69:I69" si="7">B35+B38-B25</f>
        <v>5662</v>
      </c>
      <c r="C69" s="51">
        <f t="shared" si="7"/>
        <v>5594</v>
      </c>
      <c r="D69" s="51">
        <f t="shared" si="7"/>
        <v>5900</v>
      </c>
      <c r="E69" s="51">
        <f t="shared" si="7"/>
        <v>7784</v>
      </c>
      <c r="F69" s="51">
        <f t="shared" si="7"/>
        <v>9230</v>
      </c>
      <c r="G69" s="51">
        <f t="shared" si="7"/>
        <v>9064</v>
      </c>
      <c r="H69" s="51">
        <f t="shared" si="7"/>
        <v>11129</v>
      </c>
      <c r="I69" s="51">
        <f t="shared" si="7"/>
        <v>10704</v>
      </c>
      <c r="J69" s="51"/>
      <c r="K69" s="51"/>
      <c r="L69" s="51"/>
      <c r="M69" s="51"/>
      <c r="N69" s="51"/>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1095</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dc:description/>
  <cp:lastModifiedBy>Shamla Yoosoof</cp:lastModifiedBy>
  <cp:revision>33</cp:revision>
  <dcterms:created xsi:type="dcterms:W3CDTF">2020-05-20T17:26:08Z</dcterms:created>
  <dcterms:modified xsi:type="dcterms:W3CDTF">2024-02-22T18:18:56Z</dcterms:modified>
  <dc:language>en-GB</dc:language>
</cp:coreProperties>
</file>