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ccounts\Monday\"/>
    </mc:Choice>
  </mc:AlternateContent>
  <xr:revisionPtr revIDLastSave="0" documentId="8_{0DC265FF-C07D-4AA8-89E2-61432B22FE7D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Instructions" sheetId="1" r:id="rId1"/>
    <sheet name="Financial Statements" sheetId="2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3" l="1"/>
  <c r="E19" i="3"/>
  <c r="C19" i="3"/>
  <c r="D12" i="3"/>
  <c r="E12" i="3"/>
  <c r="C12" i="3"/>
  <c r="D47" i="3" l="1"/>
  <c r="E47" i="3"/>
  <c r="C47" i="3"/>
  <c r="E42" i="3"/>
  <c r="D42" i="3"/>
  <c r="C42" i="3"/>
  <c r="E40" i="3"/>
  <c r="D40" i="3"/>
  <c r="C40" i="3"/>
  <c r="D50" i="3"/>
  <c r="E50" i="3"/>
  <c r="C50" i="3"/>
  <c r="E51" i="3"/>
  <c r="D51" i="3"/>
  <c r="C51" i="3"/>
  <c r="D49" i="3"/>
  <c r="E49" i="3"/>
  <c r="C49" i="3"/>
  <c r="D48" i="3"/>
  <c r="E48" i="3"/>
  <c r="C48" i="3"/>
  <c r="D43" i="3"/>
  <c r="E43" i="3"/>
  <c r="C43" i="3"/>
  <c r="D41" i="3"/>
  <c r="E41" i="3"/>
  <c r="C41" i="3"/>
  <c r="D37" i="3"/>
  <c r="E37" i="3"/>
  <c r="C37" i="3"/>
  <c r="D36" i="3"/>
  <c r="C36" i="3"/>
  <c r="D35" i="3"/>
  <c r="C35" i="3"/>
  <c r="D34" i="3"/>
  <c r="E34" i="3"/>
  <c r="C34" i="3"/>
  <c r="D30" i="3"/>
  <c r="E30" i="3"/>
  <c r="C30" i="3"/>
  <c r="D31" i="3"/>
  <c r="E31" i="3"/>
  <c r="C31" i="3"/>
  <c r="D29" i="3"/>
  <c r="E29" i="3"/>
  <c r="C29" i="3"/>
  <c r="D28" i="3"/>
  <c r="E28" i="3"/>
  <c r="C28" i="3"/>
  <c r="D27" i="3"/>
  <c r="E27" i="3"/>
  <c r="C27" i="3"/>
  <c r="D26" i="3"/>
  <c r="E26" i="3"/>
  <c r="C26" i="3"/>
  <c r="D25" i="3"/>
  <c r="E25" i="3"/>
  <c r="C25" i="3"/>
  <c r="D9" i="3"/>
  <c r="E9" i="3"/>
  <c r="C9" i="3"/>
  <c r="D22" i="3"/>
  <c r="E22" i="3"/>
  <c r="C22" i="3"/>
  <c r="D20" i="3"/>
  <c r="E20" i="3"/>
  <c r="C20" i="3"/>
  <c r="D21" i="3"/>
  <c r="E21" i="3"/>
  <c r="C21" i="3"/>
  <c r="D18" i="3"/>
  <c r="E18" i="3"/>
  <c r="C18" i="3"/>
  <c r="D17" i="3"/>
  <c r="E17" i="3"/>
  <c r="C17" i="3"/>
  <c r="D13" i="3"/>
  <c r="E13" i="3"/>
  <c r="C13" i="3"/>
  <c r="D14" i="3"/>
  <c r="E14" i="3"/>
  <c r="C14" i="3"/>
  <c r="D11" i="3"/>
  <c r="E11" i="3"/>
  <c r="C11" i="3"/>
  <c r="D10" i="3"/>
  <c r="E10" i="3"/>
  <c r="C10" i="3"/>
  <c r="D8" i="3"/>
  <c r="E8" i="3"/>
  <c r="C8" i="3"/>
  <c r="D7" i="3"/>
  <c r="E7" i="3"/>
  <c r="C7" i="3"/>
  <c r="D6" i="3"/>
  <c r="E6" i="3"/>
  <c r="C6" i="3"/>
  <c r="D69" i="2"/>
  <c r="D68" i="2"/>
  <c r="D60" i="2"/>
  <c r="D59" i="2"/>
  <c r="D54" i="2"/>
  <c r="D45" i="2"/>
  <c r="D46" i="2" s="1"/>
  <c r="D40" i="2"/>
  <c r="D5" i="3"/>
  <c r="C5" i="3"/>
  <c r="C110" i="2"/>
  <c r="D110" i="2"/>
  <c r="B110" i="2"/>
  <c r="C108" i="2"/>
  <c r="D108" i="2"/>
  <c r="C107" i="2"/>
  <c r="D107" i="2"/>
  <c r="B107" i="2"/>
  <c r="B91" i="2"/>
  <c r="E5" i="3" l="1"/>
  <c r="B98" i="2" l="1"/>
  <c r="B108" i="2" l="1"/>
  <c r="D98" i="2"/>
  <c r="C98" i="2"/>
  <c r="D91" i="2"/>
  <c r="C91" i="2"/>
  <c r="C59" i="2"/>
  <c r="C54" i="2"/>
  <c r="C45" i="2"/>
  <c r="C40" i="2"/>
  <c r="B40" i="2"/>
  <c r="C68" i="2"/>
  <c r="B68" i="2"/>
  <c r="B59" i="2"/>
  <c r="B54" i="2"/>
  <c r="B45" i="2"/>
  <c r="C20" i="2"/>
  <c r="D20" i="2"/>
  <c r="C10" i="2"/>
  <c r="D10" i="2"/>
  <c r="B20" i="2"/>
  <c r="B10" i="2"/>
  <c r="A47" i="3"/>
  <c r="A49" i="3" s="1"/>
  <c r="A16" i="3"/>
  <c r="A24" i="3" s="1"/>
  <c r="A5" i="3"/>
  <c r="A6" i="3" s="1"/>
  <c r="A7" i="3" s="1"/>
  <c r="A8" i="3" s="1"/>
  <c r="A9" i="3" s="1"/>
  <c r="A10" i="3" s="1"/>
  <c r="A11" i="3" s="1"/>
  <c r="A12" i="3" s="1"/>
  <c r="A13" i="3" s="1"/>
  <c r="C46" i="2" l="1"/>
  <c r="B46" i="2"/>
  <c r="C60" i="2"/>
  <c r="C69" i="2" s="1"/>
  <c r="B60" i="2"/>
  <c r="B69" i="2" s="1"/>
  <c r="A33" i="3"/>
  <c r="A25" i="3"/>
  <c r="A26" i="3" s="1"/>
  <c r="A27" i="3" s="1"/>
  <c r="A28" i="3" s="1"/>
  <c r="A29" i="3" s="1"/>
  <c r="A30" i="3" s="1"/>
  <c r="A17" i="3"/>
  <c r="A18" i="3" s="1"/>
  <c r="A20" i="3" s="1"/>
  <c r="A22" i="3" s="1"/>
  <c r="A34" i="3" l="1"/>
  <c r="A35" i="3" s="1"/>
  <c r="A36" i="3" s="1"/>
  <c r="A37" i="3" s="1"/>
  <c r="A39" i="3"/>
  <c r="A40" i="3" s="1"/>
  <c r="A41" i="3" s="1"/>
  <c r="A42" i="3" s="1"/>
  <c r="A43" i="3" s="1"/>
  <c r="A44" i="3" s="1"/>
  <c r="A46" i="3" s="1"/>
  <c r="A48" i="3" s="1"/>
  <c r="A50" i="3" s="1"/>
</calcChain>
</file>

<file path=xl/sharedStrings.xml><?xml version="1.0" encoding="utf-8"?>
<sst xmlns="http://schemas.openxmlformats.org/spreadsheetml/2006/main" count="169" uniqueCount="154">
  <si>
    <t>Instructions</t>
  </si>
  <si>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</si>
  <si>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</si>
  <si>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</si>
  <si>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</si>
  <si>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</si>
  <si>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</si>
  <si>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</si>
  <si>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</si>
  <si>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</si>
  <si>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</si>
  <si>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</si>
  <si>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</si>
  <si>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</si>
  <si>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</si>
  <si>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</si>
  <si>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</si>
  <si>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</si>
  <si>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</si>
  <si>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</si>
  <si>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</si>
  <si>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</si>
  <si>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</si>
  <si>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</si>
  <si>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</si>
  <si>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</si>
  <si>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</si>
  <si>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</si>
  <si>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</si>
  <si>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</si>
  <si>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</si>
  <si>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</si>
  <si>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</si>
  <si>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</si>
  <si>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</si>
  <si>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</si>
  <si>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</si>
  <si>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</si>
  <si>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</si>
  <si>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</si>
  <si>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</si>
  <si>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</si>
  <si>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</si>
  <si>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</si>
  <si>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</si>
  <si>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</si>
  <si>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</si>
  <si>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</si>
  <si>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</si>
  <si>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</si>
  <si>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</si>
  <si>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</si>
  <si>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</si>
  <si>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</si>
  <si>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</si>
  <si>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 xml:space="preserve">Years ended </t>
  </si>
  <si>
    <t xml:space="preserve">As at </t>
  </si>
  <si>
    <t>Years ended ,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</si>
  <si>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</si>
  <si>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</si>
  <si>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</si>
  <si>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t>Net sales:</t>
  </si>
  <si>
    <t>Products</t>
  </si>
  <si>
    <t>Services</t>
  </si>
  <si>
    <t>Total net sales</t>
  </si>
  <si>
    <t>Total cost of sales</t>
  </si>
  <si>
    <t>Operating expenses:</t>
  </si>
  <si>
    <t>Total operating expenses</t>
  </si>
  <si>
    <t>Operating income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</si>
  <si>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</si>
  <si>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</si>
  <si>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</si>
  <si>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</si>
  <si>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</si>
  <si>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</si>
  <si>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</si>
  <si>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Current assets:</t>
  </si>
  <si>
    <t>Cash and cash equivalents</t>
  </si>
  <si>
    <t>Marketable securities</t>
  </si>
  <si>
    <t>Accounts receivable, net</t>
  </si>
  <si>
    <t>Inventories</t>
  </si>
  <si>
    <t>Vendor non trade receivables</t>
  </si>
  <si>
    <t>Total current assets</t>
  </si>
  <si>
    <t>Non current assets:</t>
  </si>
  <si>
    <t>Property, plant and equipment, net</t>
  </si>
  <si>
    <t>Other non current assets</t>
  </si>
  <si>
    <t>Total non current assets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</si>
  <si>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</si>
  <si>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</si>
  <si>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</si>
  <si>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</si>
  <si>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</si>
  <si>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</si>
  <si>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</si>
  <si>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</si>
  <si>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Non current liabilities:</t>
  </si>
  <si>
    <t>Other non current liabilities</t>
  </si>
  <si>
    <t>Total non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</si>
  <si>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</si>
  <si>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</si>
  <si>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</si>
  <si>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</si>
  <si>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</si>
  <si>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</si>
  <si>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</si>
  <si>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</si>
  <si>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</si>
  <si>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</si>
  <si>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Share based compensation expense</t>
  </si>
  <si>
    <t>Deferred income tax expense/(benefit)</t>
  </si>
  <si>
    <t>Other</t>
  </si>
  <si>
    <t>Changes in operating assets and liabilities:</t>
  </si>
  <si>
    <t>Other current and non current assets</t>
  </si>
  <si>
    <t>Other current and non current liabilities</t>
  </si>
  <si>
    <t>Cash generated by operating activities</t>
  </si>
  <si>
    <t>Investing activities:</t>
  </si>
  <si>
    <t>Purchases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</si>
  <si>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</si>
  <si>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</si>
  <si>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</si>
  <si>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</si>
  <si>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taxes related to net share settlement of equity awards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</si>
  <si>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</si>
  <si>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</si>
  <si>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</si>
  <si>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</si>
  <si>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</si>
  <si>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</si>
  <si>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</si>
  <si>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</si>
  <si>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</si>
  <si>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</si>
  <si>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</si>
  <si>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Fulfillment</t>
  </si>
  <si>
    <t>Technology and content</t>
  </si>
  <si>
    <t>Sales and marketing</t>
  </si>
  <si>
    <t>General and administrative</t>
  </si>
  <si>
    <t>Other operating expense (income), net</t>
  </si>
  <si>
    <t>Total non-operating income (expense)</t>
  </si>
  <si>
    <t>Amazon.com, Inc.</t>
  </si>
  <si>
    <t>Long term lease liabilities</t>
  </si>
  <si>
    <t>Common stock ($0.01 par value; 100,000 shares authorized; 10,644 and 10,757 shares issued; 10,175 and 10,242 shares outstanding)</t>
  </si>
  <si>
    <t>Treasury stock, at cost</t>
  </si>
  <si>
    <t>Additional paid-in capital</t>
  </si>
  <si>
    <t>Proceeds from sales and maturities of marketable securities</t>
  </si>
  <si>
    <t>Proceeds from property and equipment sales and incentives</t>
  </si>
  <si>
    <t>Foreign currency effect on cash, cash equivalents, and restricted cash</t>
  </si>
  <si>
    <t>(In millions, except per share amounts)</t>
  </si>
  <si>
    <t>(Accounts Payable / COGS) x 365</t>
  </si>
  <si>
    <t>( Inventory / COGS) x 365</t>
  </si>
  <si>
    <t>Remove row 53</t>
  </si>
  <si>
    <t>Link debt repayment with - sign to make it a positive number</t>
  </si>
  <si>
    <t>Debt should be linked to the debt figure under non-current liabilities, not current</t>
  </si>
  <si>
    <t>Feedback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</si>
</sst>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_(&quot;$&quot;* #,##0_);_(&quot;$&quot;* \(#,##0\);_(&quot;$&quot;* &quot;-&quot;_);_(@_)"/>
    <numFmt numFmtId="168" formatCode="#,##0.00;\(#,##0.0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/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3" fillId="2" borderId="0" xfId="0" applyFont="1" applyFill="1" applyAlignment="1">
      <alignment horizontal="center"/>
    </xf>
    <xf numFmtId="166" fontId="0" fillId="0" borderId="0" xfId="0" applyNumberFormat="1"/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37" fontId="7" fillId="0" borderId="0" xfId="0" applyNumberFormat="1" applyFont="1" applyAlignment="1">
      <alignment vertical="top"/>
    </xf>
    <xf numFmtId="0" fontId="2" fillId="0" borderId="3" xfId="0" applyFont="1" applyBorder="1"/>
    <xf numFmtId="3" fontId="9" fillId="0" borderId="0" xfId="0" applyNumberFormat="1" applyFont="1" applyAlignment="1">
      <alignment vertical="top"/>
    </xf>
    <xf numFmtId="37" fontId="9" fillId="0" borderId="0" xfId="0" applyNumberFormat="1" applyFont="1" applyAlignment="1">
      <alignment vertical="top"/>
    </xf>
    <xf numFmtId="37" fontId="9" fillId="0" borderId="1" xfId="0" applyNumberFormat="1" applyFont="1" applyBorder="1" applyAlignment="1">
      <alignment vertical="top"/>
    </xf>
    <xf numFmtId="37" fontId="9" fillId="0" borderId="3" xfId="0" applyNumberFormat="1" applyFont="1" applyBorder="1" applyAlignment="1">
      <alignment vertical="top"/>
    </xf>
    <xf numFmtId="0" fontId="9" fillId="0" borderId="0" xfId="0" applyFont="1" applyAlignment="1">
      <alignment vertical="top"/>
    </xf>
    <xf numFmtId="37" fontId="10" fillId="0" borderId="3" xfId="0" applyNumberFormat="1" applyFont="1" applyBorder="1" applyAlignment="1">
      <alignment vertical="top"/>
    </xf>
    <xf numFmtId="3" fontId="9" fillId="0" borderId="2" xfId="0" applyNumberFormat="1" applyFont="1" applyBorder="1" applyAlignment="1">
      <alignment vertical="top"/>
    </xf>
    <xf numFmtId="4" fontId="9" fillId="4" borderId="0" xfId="0" applyNumberFormat="1" applyFont="1" applyFill="1" applyAlignment="1">
      <alignment vertical="top"/>
    </xf>
    <xf numFmtId="37" fontId="0" fillId="0" borderId="0" xfId="0" applyNumberFormat="1" applyAlignment="1">
      <alignment vertical="top"/>
    </xf>
    <xf numFmtId="165" fontId="2" fillId="0" borderId="3" xfId="1" applyNumberFormat="1" applyFont="1" applyBorder="1"/>
    <xf numFmtId="37" fontId="10" fillId="0" borderId="1" xfId="0" applyNumberFormat="1" applyFont="1" applyBorder="1" applyAlignment="1">
      <alignment vertical="top"/>
    </xf>
    <xf numFmtId="3" fontId="10" fillId="0" borderId="2" xfId="0" applyNumberFormat="1" applyFont="1" applyBorder="1" applyAlignment="1">
      <alignment vertical="top"/>
    </xf>
    <xf numFmtId="165" fontId="0" fillId="0" borderId="0" xfId="1" applyNumberFormat="1" applyFont="1" applyBorder="1"/>
    <xf numFmtId="165" fontId="1" fillId="0" borderId="0" xfId="1" applyNumberFormat="1" applyFont="1" applyBorder="1"/>
    <xf numFmtId="37" fontId="8" fillId="0" borderId="0" xfId="0" applyNumberFormat="1" applyFont="1" applyAlignment="1">
      <alignment vertical="top"/>
    </xf>
    <xf numFmtId="3" fontId="8" fillId="0" borderId="2" xfId="0" applyNumberFormat="1" applyFont="1" applyBorder="1" applyAlignment="1">
      <alignment vertical="top"/>
    </xf>
    <xf numFmtId="167" fontId="7" fillId="0" borderId="0" xfId="0" applyNumberFormat="1" applyFont="1" applyAlignment="1">
      <alignment vertical="top"/>
    </xf>
    <xf numFmtId="3" fontId="7" fillId="0" borderId="0" xfId="0" applyNumberFormat="1" applyFont="1" applyAlignment="1">
      <alignment vertical="top"/>
    </xf>
    <xf numFmtId="2" fontId="0" fillId="0" borderId="0" xfId="0" applyNumberFormat="1"/>
    <xf numFmtId="10" fontId="0" fillId="0" borderId="0" xfId="0" applyNumberFormat="1"/>
    <xf numFmtId="168" fontId="0" fillId="0" borderId="0" xfId="0" applyNumberFormat="1"/>
    <xf numFmtId="0" fontId="6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9" fontId="0" fillId="0" borderId="0" xfId="3" applyFont="1"/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workbookViewId="0">
      <selection activeCell="A5" sqref="A5"/>
    </sheetView>
  </sheetViews>
  <sheetFormatPr defaultRowHeight="15" x14ac:dyDescent="0.25"/>
  <cols>
    <col min="1" max="1" width="157.85546875" style="2" customWidth="1"/>
  </cols>
  <sheetData>
    <row r="1" spans="1:1" ht="23.25" x14ac:dyDescent="0.35">
      <c r="A1" s="3" t="s">
        <v>0</v>
      </c>
    </row>
    <row r="3" spans="1:1" x14ac:dyDescent="0.25">
      <c r="A3" s="2" t="s">
        <v>60</v>
      </c>
    </row>
    <row r="4" spans="1:1" x14ac:dyDescent="0.25">
      <c r="A4" s="5" t="s">
        <v>5</v>
      </c>
    </row>
    <row r="5" spans="1:1" x14ac:dyDescent="0.25">
      <c r="A5" s="6" t="s">
        <v>1</v>
      </c>
    </row>
    <row r="7" spans="1:1" x14ac:dyDescent="0.25">
      <c r="A7" s="2" t="s">
        <v>58</v>
      </c>
    </row>
    <row r="8" spans="1:1" x14ac:dyDescent="0.25">
      <c r="A8" s="2" t="s">
        <v>59</v>
      </c>
    </row>
    <row r="9" spans="1:1" ht="30" x14ac:dyDescent="0.25">
      <c r="A9" s="2" t="s">
        <v>2</v>
      </c>
    </row>
    <row r="10" spans="1:1" x14ac:dyDescent="0.25">
      <c r="A10" s="2" t="s">
        <v>6</v>
      </c>
    </row>
    <row r="11" spans="1:1" x14ac:dyDescent="0.25">
      <c r="A11" s="2" t="s">
        <v>4</v>
      </c>
    </row>
    <row r="13" spans="1:1" x14ac:dyDescent="0.25">
      <c r="A13" s="4" t="s">
        <v>3</v>
      </c>
    </row>
    <row r="14" spans="1:1" x14ac:dyDescent="0.25">
      <c r="A14" s="2" t="s">
        <v>7</v>
      </c>
    </row>
    <row r="15" spans="1:1" x14ac:dyDescent="0.25">
      <c r="A15" s="2" t="s">
        <v>8</v>
      </c>
    </row>
  </sheetData>
  <hyperlinks>
    <hyperlink ref="A5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7"/>
  <sheetViews>
    <sheetView topLeftCell="A76" workbookViewId="0">
      <selection activeCell="C106" sqref="C106"/>
    </sheetView>
  </sheetViews>
  <sheetFormatPr defaultRowHeight="15" x14ac:dyDescent="0.25"/>
  <cols>
    <col min="1" max="1" width="59" customWidth="1"/>
    <col min="2" max="3" width="11.5703125" bestFit="1" customWidth="1"/>
    <col min="4" max="4" width="11.7109375" bestFit="1" customWidth="1"/>
  </cols>
  <sheetData>
    <row r="1" spans="1:10" ht="60" customHeight="1" x14ac:dyDescent="0.25">
      <c r="A1" s="7" t="s">
        <v>139</v>
      </c>
      <c r="B1" s="8" t="s">
        <v>147</v>
      </c>
      <c r="C1" s="8"/>
      <c r="D1" s="8"/>
      <c r="E1" s="8"/>
      <c r="F1" s="8"/>
      <c r="G1" s="8"/>
      <c r="H1" s="8"/>
      <c r="I1" s="8"/>
      <c r="J1" s="8"/>
    </row>
    <row r="2" spans="1:10" x14ac:dyDescent="0.25">
      <c r="A2" s="46" t="s">
        <v>9</v>
      </c>
      <c r="B2" s="46"/>
      <c r="C2" s="46"/>
      <c r="D2" s="46"/>
    </row>
    <row r="3" spans="1:10" x14ac:dyDescent="0.25">
      <c r="B3" s="45" t="s">
        <v>55</v>
      </c>
      <c r="C3" s="45"/>
      <c r="D3" s="45"/>
    </row>
    <row r="4" spans="1:10" x14ac:dyDescent="0.25">
      <c r="B4" s="9">
        <v>2022</v>
      </c>
      <c r="C4" s="9">
        <v>2021</v>
      </c>
      <c r="D4" s="9">
        <v>2020</v>
      </c>
    </row>
    <row r="5" spans="1:10" x14ac:dyDescent="0.25">
      <c r="A5" t="s">
        <v>61</v>
      </c>
    </row>
    <row r="6" spans="1:10" x14ac:dyDescent="0.25">
      <c r="A6" s="1" t="s">
        <v>62</v>
      </c>
      <c r="B6" s="23">
        <v>242901</v>
      </c>
      <c r="C6" s="23">
        <v>242901</v>
      </c>
      <c r="D6" s="23">
        <v>242901</v>
      </c>
    </row>
    <row r="7" spans="1:10" x14ac:dyDescent="0.25">
      <c r="A7" s="1" t="s">
        <v>63</v>
      </c>
      <c r="B7" s="24">
        <v>271082</v>
      </c>
      <c r="C7" s="24">
        <v>228035</v>
      </c>
      <c r="D7" s="24">
        <v>170149</v>
      </c>
    </row>
    <row r="8" spans="1:10" x14ac:dyDescent="0.25">
      <c r="A8" s="11" t="s">
        <v>64</v>
      </c>
      <c r="B8" s="25">
        <v>513983</v>
      </c>
      <c r="C8" s="25">
        <v>469822</v>
      </c>
      <c r="D8" s="25">
        <v>386064</v>
      </c>
    </row>
    <row r="9" spans="1:10" x14ac:dyDescent="0.25">
      <c r="A9" s="22" t="s">
        <v>65</v>
      </c>
      <c r="B9" s="26">
        <v>288831</v>
      </c>
      <c r="C9" s="26">
        <v>272344</v>
      </c>
      <c r="D9" s="26">
        <v>233307</v>
      </c>
    </row>
    <row r="10" spans="1:10" x14ac:dyDescent="0.25">
      <c r="A10" s="11" t="s">
        <v>10</v>
      </c>
      <c r="B10" s="12">
        <f>B8-B9</f>
        <v>225152</v>
      </c>
      <c r="C10" s="12">
        <f t="shared" ref="C10:D10" si="0">C8-C9</f>
        <v>197478</v>
      </c>
      <c r="D10" s="12">
        <f t="shared" si="0"/>
        <v>152757</v>
      </c>
    </row>
    <row r="11" spans="1:10" x14ac:dyDescent="0.25">
      <c r="A11" t="s">
        <v>66</v>
      </c>
      <c r="B11" s="10"/>
      <c r="C11" s="10"/>
      <c r="D11" s="10"/>
    </row>
    <row r="12" spans="1:10" x14ac:dyDescent="0.25">
      <c r="A12" s="27" t="s">
        <v>133</v>
      </c>
      <c r="B12" s="24">
        <v>84299</v>
      </c>
      <c r="C12" s="24">
        <v>75111</v>
      </c>
      <c r="D12" s="24">
        <v>58517</v>
      </c>
    </row>
    <row r="13" spans="1:10" x14ac:dyDescent="0.25">
      <c r="A13" s="27" t="s">
        <v>134</v>
      </c>
      <c r="B13" s="24">
        <v>73213</v>
      </c>
      <c r="C13" s="24">
        <v>56052</v>
      </c>
      <c r="D13" s="24">
        <v>42740</v>
      </c>
    </row>
    <row r="14" spans="1:10" x14ac:dyDescent="0.25">
      <c r="A14" s="27" t="s">
        <v>135</v>
      </c>
      <c r="B14" s="24">
        <v>42238</v>
      </c>
      <c r="C14" s="24">
        <v>32551</v>
      </c>
      <c r="D14" s="24">
        <v>22008</v>
      </c>
    </row>
    <row r="15" spans="1:10" x14ac:dyDescent="0.25">
      <c r="A15" s="27" t="s">
        <v>136</v>
      </c>
      <c r="B15" s="24">
        <v>11891</v>
      </c>
      <c r="C15" s="24">
        <v>8823</v>
      </c>
      <c r="D15" s="24">
        <v>6668</v>
      </c>
    </row>
    <row r="16" spans="1:10" x14ac:dyDescent="0.25">
      <c r="A16" s="27" t="s">
        <v>137</v>
      </c>
      <c r="B16" s="24">
        <v>1263</v>
      </c>
      <c r="C16" s="24">
        <v>62</v>
      </c>
      <c r="D16" s="24">
        <v>-75</v>
      </c>
    </row>
    <row r="17" spans="1:4" x14ac:dyDescent="0.25">
      <c r="A17" s="22" t="s">
        <v>67</v>
      </c>
      <c r="B17" s="28">
        <v>501735</v>
      </c>
      <c r="C17" s="28">
        <v>444943</v>
      </c>
      <c r="D17" s="28">
        <v>363165</v>
      </c>
    </row>
    <row r="18" spans="1:4" s="9" customFormat="1" x14ac:dyDescent="0.25">
      <c r="A18" s="9" t="s">
        <v>68</v>
      </c>
      <c r="B18" s="24">
        <v>12248</v>
      </c>
      <c r="C18" s="24">
        <v>24879</v>
      </c>
      <c r="D18" s="24">
        <v>22899</v>
      </c>
    </row>
    <row r="19" spans="1:4" x14ac:dyDescent="0.25">
      <c r="A19" s="27" t="s">
        <v>138</v>
      </c>
      <c r="B19" s="24">
        <v>-18184</v>
      </c>
      <c r="C19" s="24">
        <v>13272</v>
      </c>
      <c r="D19" s="24">
        <v>1279</v>
      </c>
    </row>
    <row r="20" spans="1:4" x14ac:dyDescent="0.25">
      <c r="A20" s="11" t="s">
        <v>69</v>
      </c>
      <c r="B20" s="12">
        <f>B18+B19</f>
        <v>-5936</v>
      </c>
      <c r="C20" s="12">
        <f>C18+C19</f>
        <v>38151</v>
      </c>
      <c r="D20" s="12">
        <f>D18+D19</f>
        <v>24178</v>
      </c>
    </row>
    <row r="21" spans="1:4" x14ac:dyDescent="0.25">
      <c r="A21" t="s">
        <v>70</v>
      </c>
      <c r="B21" s="24">
        <v>3217</v>
      </c>
      <c r="C21" s="24">
        <v>-4791</v>
      </c>
      <c r="D21" s="24">
        <v>-2863</v>
      </c>
    </row>
    <row r="22" spans="1:4" ht="15.75" thickBot="1" x14ac:dyDescent="0.3">
      <c r="A22" s="13" t="s">
        <v>71</v>
      </c>
      <c r="B22" s="29">
        <v>-2722</v>
      </c>
      <c r="C22" s="29">
        <v>33364</v>
      </c>
      <c r="D22" s="29">
        <v>21331</v>
      </c>
    </row>
    <row r="23" spans="1:4" ht="15.75" thickTop="1" x14ac:dyDescent="0.25">
      <c r="A23" t="s">
        <v>72</v>
      </c>
    </row>
    <row r="24" spans="1:4" x14ac:dyDescent="0.25">
      <c r="A24" s="1" t="s">
        <v>73</v>
      </c>
      <c r="B24" s="30">
        <v>-0.27</v>
      </c>
      <c r="C24" s="30">
        <v>3.3</v>
      </c>
      <c r="D24" s="30">
        <v>2.13</v>
      </c>
    </row>
    <row r="25" spans="1:4" x14ac:dyDescent="0.25">
      <c r="A25" s="1" t="s">
        <v>74</v>
      </c>
      <c r="B25" s="30">
        <v>-0.27</v>
      </c>
      <c r="C25" s="30">
        <v>3.24</v>
      </c>
      <c r="D25" s="30">
        <v>2.09</v>
      </c>
    </row>
    <row r="26" spans="1:4" x14ac:dyDescent="0.25">
      <c r="A26" t="s">
        <v>75</v>
      </c>
    </row>
    <row r="27" spans="1:4" x14ac:dyDescent="0.25">
      <c r="A27" s="1" t="s">
        <v>73</v>
      </c>
      <c r="B27" s="24">
        <v>10189</v>
      </c>
      <c r="C27" s="24">
        <v>10117</v>
      </c>
      <c r="D27" s="24">
        <v>10005</v>
      </c>
    </row>
    <row r="28" spans="1:4" x14ac:dyDescent="0.25">
      <c r="A28" s="1" t="s">
        <v>74</v>
      </c>
      <c r="B28" s="24">
        <v>10189</v>
      </c>
      <c r="C28" s="24">
        <v>10296</v>
      </c>
      <c r="D28" s="24">
        <v>10198</v>
      </c>
    </row>
    <row r="31" spans="1:4" x14ac:dyDescent="0.25">
      <c r="A31" s="46" t="s">
        <v>11</v>
      </c>
      <c r="B31" s="46"/>
      <c r="C31" s="46"/>
      <c r="D31" s="46"/>
    </row>
    <row r="32" spans="1:4" x14ac:dyDescent="0.25">
      <c r="B32" s="45" t="s">
        <v>56</v>
      </c>
      <c r="C32" s="45"/>
      <c r="D32" s="45"/>
    </row>
    <row r="33" spans="1:4" x14ac:dyDescent="0.25">
      <c r="B33" s="9">
        <v>2022</v>
      </c>
      <c r="C33" s="9">
        <v>2021</v>
      </c>
      <c r="D33" s="9">
        <v>2020</v>
      </c>
    </row>
    <row r="35" spans="1:4" x14ac:dyDescent="0.25">
      <c r="A35" t="s">
        <v>76</v>
      </c>
    </row>
    <row r="36" spans="1:4" x14ac:dyDescent="0.25">
      <c r="A36" s="1" t="s">
        <v>77</v>
      </c>
      <c r="B36" s="23">
        <v>53888</v>
      </c>
      <c r="C36" s="23">
        <v>36220</v>
      </c>
      <c r="D36" s="40">
        <v>42122</v>
      </c>
    </row>
    <row r="37" spans="1:4" x14ac:dyDescent="0.25">
      <c r="A37" s="1" t="s">
        <v>78</v>
      </c>
      <c r="B37" s="24">
        <v>16138</v>
      </c>
      <c r="C37" s="24">
        <v>59829</v>
      </c>
      <c r="D37" s="21">
        <v>42274</v>
      </c>
    </row>
    <row r="38" spans="1:4" x14ac:dyDescent="0.25">
      <c r="A38" s="1" t="s">
        <v>79</v>
      </c>
      <c r="B38" s="24">
        <v>42360</v>
      </c>
      <c r="C38" s="24">
        <v>32891</v>
      </c>
      <c r="D38" s="21">
        <v>24542</v>
      </c>
    </row>
    <row r="39" spans="1:4" x14ac:dyDescent="0.25">
      <c r="A39" s="1" t="s">
        <v>80</v>
      </c>
      <c r="B39" s="24">
        <v>34405</v>
      </c>
      <c r="C39" s="24">
        <v>32640</v>
      </c>
      <c r="D39" s="21">
        <v>23795</v>
      </c>
    </row>
    <row r="40" spans="1:4" x14ac:dyDescent="0.25">
      <c r="A40" s="11" t="s">
        <v>82</v>
      </c>
      <c r="B40" s="33">
        <f>SUM(B36:B39)</f>
        <v>146791</v>
      </c>
      <c r="C40" s="33">
        <f>SUM(C36:C39)</f>
        <v>161580</v>
      </c>
      <c r="D40" s="33">
        <f>SUM(D36:D39)</f>
        <v>132733</v>
      </c>
    </row>
    <row r="41" spans="1:4" x14ac:dyDescent="0.25">
      <c r="A41" t="s">
        <v>83</v>
      </c>
      <c r="B41" s="10"/>
      <c r="C41" s="10"/>
      <c r="D41" s="10"/>
    </row>
    <row r="42" spans="1:4" x14ac:dyDescent="0.25">
      <c r="A42" s="1" t="s">
        <v>78</v>
      </c>
      <c r="B42" s="10">
        <v>0</v>
      </c>
      <c r="C42" s="10">
        <v>0</v>
      </c>
      <c r="D42" s="10">
        <v>0</v>
      </c>
    </row>
    <row r="43" spans="1:4" x14ac:dyDescent="0.25">
      <c r="A43" s="1" t="s">
        <v>84</v>
      </c>
      <c r="B43" s="24">
        <v>186715</v>
      </c>
      <c r="C43" s="24">
        <v>160281</v>
      </c>
      <c r="D43" s="21">
        <v>113114</v>
      </c>
    </row>
    <row r="44" spans="1:4" x14ac:dyDescent="0.25">
      <c r="A44" s="1" t="s">
        <v>85</v>
      </c>
      <c r="B44" s="10">
        <v>129169</v>
      </c>
      <c r="C44" s="10">
        <v>98688</v>
      </c>
      <c r="D44" s="31">
        <v>75348</v>
      </c>
    </row>
    <row r="45" spans="1:4" x14ac:dyDescent="0.25">
      <c r="A45" s="11" t="s">
        <v>86</v>
      </c>
      <c r="B45" s="12">
        <f>SUM(B42:B44)</f>
        <v>315884</v>
      </c>
      <c r="C45" s="12">
        <f>SUM(C42:C44)</f>
        <v>258969</v>
      </c>
      <c r="D45" s="12">
        <f>SUM(D42:D44)</f>
        <v>188462</v>
      </c>
    </row>
    <row r="46" spans="1:4" ht="15.75" thickBot="1" x14ac:dyDescent="0.3">
      <c r="A46" s="13" t="s">
        <v>87</v>
      </c>
      <c r="B46" s="34">
        <f>B40+B45</f>
        <v>462675</v>
      </c>
      <c r="C46" s="34">
        <f>C40+C45</f>
        <v>420549</v>
      </c>
      <c r="D46" s="34">
        <f>D40+D45</f>
        <v>321195</v>
      </c>
    </row>
    <row r="47" spans="1:4" ht="15.75" thickTop="1" x14ac:dyDescent="0.25"/>
    <row r="48" spans="1:4" x14ac:dyDescent="0.25">
      <c r="A48" t="s">
        <v>88</v>
      </c>
    </row>
    <row r="49" spans="1:4" x14ac:dyDescent="0.25">
      <c r="A49" s="1" t="s">
        <v>89</v>
      </c>
      <c r="B49" s="23">
        <v>79600</v>
      </c>
      <c r="C49" s="23">
        <v>78664</v>
      </c>
      <c r="D49" s="39">
        <v>72539</v>
      </c>
    </row>
    <row r="50" spans="1:4" x14ac:dyDescent="0.25">
      <c r="A50" s="1" t="s">
        <v>90</v>
      </c>
      <c r="B50" s="24">
        <v>62566</v>
      </c>
      <c r="C50" s="24">
        <v>51775</v>
      </c>
      <c r="D50" s="21">
        <v>44138</v>
      </c>
    </row>
    <row r="51" spans="1:4" x14ac:dyDescent="0.25">
      <c r="A51" s="1" t="s">
        <v>91</v>
      </c>
      <c r="B51" s="24">
        <v>13227</v>
      </c>
      <c r="C51" s="24">
        <v>11827</v>
      </c>
      <c r="D51" s="21">
        <v>9708</v>
      </c>
    </row>
    <row r="52" spans="1:4" x14ac:dyDescent="0.25">
      <c r="A52" s="1" t="s">
        <v>92</v>
      </c>
      <c r="B52" s="10">
        <v>0</v>
      </c>
      <c r="C52" s="10">
        <v>0</v>
      </c>
      <c r="D52" s="10">
        <v>0</v>
      </c>
    </row>
    <row r="53" spans="1:4" x14ac:dyDescent="0.25">
      <c r="A53" s="1" t="s">
        <v>93</v>
      </c>
      <c r="B53" s="10">
        <v>0</v>
      </c>
      <c r="C53" s="10">
        <v>0</v>
      </c>
      <c r="D53" s="10">
        <v>0</v>
      </c>
    </row>
    <row r="54" spans="1:4" x14ac:dyDescent="0.25">
      <c r="A54" s="11" t="s">
        <v>94</v>
      </c>
      <c r="B54" s="33">
        <f>SUM(B49:B53)</f>
        <v>155393</v>
      </c>
      <c r="C54" s="33">
        <f>SUM(C49:C53)</f>
        <v>142266</v>
      </c>
      <c r="D54" s="33">
        <f>SUM(D49:D53)</f>
        <v>126385</v>
      </c>
    </row>
    <row r="55" spans="1:4" x14ac:dyDescent="0.25">
      <c r="A55" t="s">
        <v>95</v>
      </c>
      <c r="B55" s="10"/>
      <c r="C55" s="10"/>
      <c r="D55" s="10"/>
    </row>
    <row r="56" spans="1:4" x14ac:dyDescent="0.25">
      <c r="A56" s="1" t="s">
        <v>140</v>
      </c>
      <c r="B56" s="24">
        <v>72968</v>
      </c>
      <c r="C56" s="24">
        <v>67651</v>
      </c>
      <c r="D56" s="21">
        <v>52573</v>
      </c>
    </row>
    <row r="57" spans="1:4" x14ac:dyDescent="0.25">
      <c r="A57" s="1" t="s">
        <v>93</v>
      </c>
      <c r="B57" s="24">
        <v>67150</v>
      </c>
      <c r="C57" s="24">
        <v>48744</v>
      </c>
      <c r="D57" s="21">
        <v>31816</v>
      </c>
    </row>
    <row r="58" spans="1:4" x14ac:dyDescent="0.25">
      <c r="A58" s="1" t="s">
        <v>96</v>
      </c>
      <c r="B58" s="24">
        <v>21121</v>
      </c>
      <c r="C58" s="24">
        <v>23643</v>
      </c>
      <c r="D58" s="21">
        <v>17017</v>
      </c>
    </row>
    <row r="59" spans="1:4" x14ac:dyDescent="0.25">
      <c r="A59" s="20" t="s">
        <v>97</v>
      </c>
      <c r="B59" s="32">
        <f>SUM(B56:B58)</f>
        <v>161239</v>
      </c>
      <c r="C59" s="32">
        <f>SUM(C56:C58)</f>
        <v>140038</v>
      </c>
      <c r="D59" s="32">
        <f>SUM(D56:D58)</f>
        <v>101406</v>
      </c>
    </row>
    <row r="60" spans="1:4" x14ac:dyDescent="0.25">
      <c r="A60" s="11" t="s">
        <v>98</v>
      </c>
      <c r="B60" s="12">
        <f>B54+B59</f>
        <v>316632</v>
      </c>
      <c r="C60" s="12">
        <f>C54+C59</f>
        <v>282304</v>
      </c>
      <c r="D60" s="12">
        <f>D54+D59</f>
        <v>227791</v>
      </c>
    </row>
    <row r="61" spans="1:4" x14ac:dyDescent="0.25">
      <c r="B61" s="10"/>
      <c r="C61" s="10"/>
      <c r="D61" s="10"/>
    </row>
    <row r="62" spans="1:4" x14ac:dyDescent="0.25">
      <c r="A62" t="s">
        <v>99</v>
      </c>
      <c r="B62" s="10"/>
      <c r="C62" s="10"/>
      <c r="D62" s="10"/>
    </row>
    <row r="63" spans="1:4" x14ac:dyDescent="0.25">
      <c r="A63" s="1" t="s">
        <v>141</v>
      </c>
      <c r="B63" s="24">
        <v>108</v>
      </c>
      <c r="C63" s="24">
        <v>106</v>
      </c>
      <c r="D63" s="21">
        <v>5</v>
      </c>
    </row>
    <row r="64" spans="1:4" x14ac:dyDescent="0.25">
      <c r="A64" s="27" t="s">
        <v>142</v>
      </c>
      <c r="B64" s="24">
        <v>-7837</v>
      </c>
      <c r="C64" s="24">
        <v>-1837</v>
      </c>
      <c r="D64" s="21">
        <v>-1837</v>
      </c>
    </row>
    <row r="65" spans="1:4" x14ac:dyDescent="0.25">
      <c r="A65" s="27" t="s">
        <v>143</v>
      </c>
      <c r="B65" s="24">
        <v>75066</v>
      </c>
      <c r="C65" s="24">
        <v>55437</v>
      </c>
      <c r="D65" s="21">
        <v>42865</v>
      </c>
    </row>
    <row r="66" spans="1:4" x14ac:dyDescent="0.25">
      <c r="A66" s="1" t="s">
        <v>100</v>
      </c>
      <c r="B66" s="24">
        <v>83193</v>
      </c>
      <c r="C66" s="24">
        <v>-1376</v>
      </c>
      <c r="D66" s="21">
        <v>52551</v>
      </c>
    </row>
    <row r="67" spans="1:4" x14ac:dyDescent="0.25">
      <c r="A67" s="1" t="s">
        <v>101</v>
      </c>
      <c r="B67" s="24">
        <v>-4487</v>
      </c>
      <c r="C67" s="24">
        <v>85915</v>
      </c>
      <c r="D67" s="21">
        <v>-180</v>
      </c>
    </row>
    <row r="68" spans="1:4" x14ac:dyDescent="0.25">
      <c r="A68" s="11" t="s">
        <v>102</v>
      </c>
      <c r="B68" s="12">
        <f>SUM(B63:B67)</f>
        <v>146043</v>
      </c>
      <c r="C68" s="12">
        <f>SUM(C63:C67)</f>
        <v>138245</v>
      </c>
      <c r="D68" s="12">
        <f>SUM(D63:D67)</f>
        <v>93404</v>
      </c>
    </row>
    <row r="69" spans="1:4" ht="15.75" thickBot="1" x14ac:dyDescent="0.3">
      <c r="A69" s="13" t="s">
        <v>103</v>
      </c>
      <c r="B69" s="14">
        <f>B60+B68</f>
        <v>462675</v>
      </c>
      <c r="C69" s="14">
        <f>C60+C68</f>
        <v>420549</v>
      </c>
      <c r="D69" s="14">
        <f>D60+D68</f>
        <v>321195</v>
      </c>
    </row>
    <row r="70" spans="1:4" ht="15.75" thickTop="1" x14ac:dyDescent="0.25"/>
    <row r="71" spans="1:4" x14ac:dyDescent="0.25">
      <c r="A71" s="46" t="s">
        <v>12</v>
      </c>
      <c r="B71" s="46"/>
      <c r="C71" s="46"/>
      <c r="D71" s="46"/>
    </row>
    <row r="72" spans="1:4" x14ac:dyDescent="0.25">
      <c r="B72" s="45" t="s">
        <v>55</v>
      </c>
      <c r="C72" s="45"/>
      <c r="D72" s="45"/>
    </row>
    <row r="73" spans="1:4" x14ac:dyDescent="0.25">
      <c r="B73" s="9">
        <v>2022</v>
      </c>
      <c r="C73" s="9">
        <v>2021</v>
      </c>
      <c r="D73" s="9">
        <v>2020</v>
      </c>
    </row>
    <row r="75" spans="1:4" x14ac:dyDescent="0.25">
      <c r="A75" s="9" t="s">
        <v>104</v>
      </c>
    </row>
    <row r="76" spans="1:4" x14ac:dyDescent="0.25">
      <c r="A76" t="s">
        <v>105</v>
      </c>
      <c r="B76" s="23">
        <v>36477</v>
      </c>
      <c r="C76" s="23">
        <v>42377</v>
      </c>
      <c r="D76" s="23">
        <v>36410</v>
      </c>
    </row>
    <row r="77" spans="1:4" x14ac:dyDescent="0.25">
      <c r="A77" s="15" t="s">
        <v>71</v>
      </c>
      <c r="B77" s="37">
        <v>-2722</v>
      </c>
      <c r="C77" s="37">
        <v>33364</v>
      </c>
      <c r="D77" s="37">
        <v>21331</v>
      </c>
    </row>
    <row r="78" spans="1:4" x14ac:dyDescent="0.25">
      <c r="A78" s="1" t="s">
        <v>106</v>
      </c>
      <c r="B78" s="10"/>
      <c r="C78" s="10"/>
      <c r="D78" s="10"/>
    </row>
    <row r="79" spans="1:4" x14ac:dyDescent="0.25">
      <c r="A79" s="16" t="s">
        <v>107</v>
      </c>
      <c r="B79" s="24">
        <v>41921</v>
      </c>
      <c r="C79" s="24">
        <v>34433</v>
      </c>
      <c r="D79" s="24">
        <v>25180</v>
      </c>
    </row>
    <row r="80" spans="1:4" x14ac:dyDescent="0.25">
      <c r="A80" s="16" t="s">
        <v>108</v>
      </c>
      <c r="B80" s="24">
        <v>19621</v>
      </c>
      <c r="C80" s="24">
        <v>12757</v>
      </c>
      <c r="D80" s="24">
        <v>9208</v>
      </c>
    </row>
    <row r="81" spans="1:4" x14ac:dyDescent="0.25">
      <c r="A81" s="16" t="s">
        <v>109</v>
      </c>
      <c r="B81" s="24">
        <v>-8148</v>
      </c>
      <c r="C81" s="24">
        <v>-310</v>
      </c>
      <c r="D81" s="24">
        <v>-554</v>
      </c>
    </row>
    <row r="82" spans="1:4" x14ac:dyDescent="0.25">
      <c r="A82" s="16" t="s">
        <v>110</v>
      </c>
      <c r="B82" s="24">
        <v>16966</v>
      </c>
      <c r="C82" s="24">
        <v>-14306</v>
      </c>
      <c r="D82" s="24">
        <v>-2582</v>
      </c>
    </row>
    <row r="83" spans="1:4" x14ac:dyDescent="0.25">
      <c r="A83" t="s">
        <v>111</v>
      </c>
      <c r="B83" s="10"/>
      <c r="C83" s="10"/>
      <c r="D83" s="10"/>
    </row>
    <row r="84" spans="1:4" x14ac:dyDescent="0.25">
      <c r="A84" s="1" t="s">
        <v>79</v>
      </c>
      <c r="B84" s="24">
        <v>-21897</v>
      </c>
      <c r="C84" s="24">
        <v>-18163</v>
      </c>
      <c r="D84" s="24">
        <v>-8169</v>
      </c>
    </row>
    <row r="85" spans="1:4" x14ac:dyDescent="0.25">
      <c r="A85" s="1" t="s">
        <v>80</v>
      </c>
      <c r="B85" s="24">
        <v>-2592</v>
      </c>
      <c r="C85" s="24">
        <v>-9487</v>
      </c>
      <c r="D85" s="24">
        <v>-2849</v>
      </c>
    </row>
    <row r="86" spans="1:4" x14ac:dyDescent="0.25">
      <c r="A86" s="1" t="s">
        <v>81</v>
      </c>
      <c r="B86" s="10">
        <v>0</v>
      </c>
      <c r="C86" s="10">
        <v>0</v>
      </c>
      <c r="D86" s="10">
        <v>0</v>
      </c>
    </row>
    <row r="87" spans="1:4" x14ac:dyDescent="0.25">
      <c r="A87" s="1" t="s">
        <v>112</v>
      </c>
      <c r="B87" s="10">
        <v>0</v>
      </c>
      <c r="C87" s="10">
        <v>0</v>
      </c>
      <c r="D87" s="10">
        <v>0</v>
      </c>
    </row>
    <row r="88" spans="1:4" x14ac:dyDescent="0.25">
      <c r="A88" s="1" t="s">
        <v>89</v>
      </c>
      <c r="B88" s="24">
        <v>2945</v>
      </c>
      <c r="C88" s="24">
        <v>3602</v>
      </c>
      <c r="D88" s="24">
        <v>17480</v>
      </c>
    </row>
    <row r="89" spans="1:4" x14ac:dyDescent="0.25">
      <c r="A89" s="1" t="s">
        <v>91</v>
      </c>
      <c r="B89" s="24">
        <v>2216</v>
      </c>
      <c r="C89" s="24">
        <v>2314</v>
      </c>
      <c r="D89" s="24">
        <v>1265</v>
      </c>
    </row>
    <row r="90" spans="1:4" x14ac:dyDescent="0.25">
      <c r="A90" s="1" t="s">
        <v>113</v>
      </c>
      <c r="B90" s="24">
        <v>-1558</v>
      </c>
      <c r="C90" s="24">
        <v>2123</v>
      </c>
      <c r="D90" s="24">
        <v>5754</v>
      </c>
    </row>
    <row r="91" spans="1:4" x14ac:dyDescent="0.25">
      <c r="A91" s="11" t="s">
        <v>114</v>
      </c>
      <c r="B91" s="12">
        <f>SUM(B76:B90)</f>
        <v>83229</v>
      </c>
      <c r="C91" s="12">
        <f>SUM(C76:C90)</f>
        <v>88704</v>
      </c>
      <c r="D91" s="12">
        <f>SUM(D76:D90)</f>
        <v>102474</v>
      </c>
    </row>
    <row r="92" spans="1:4" x14ac:dyDescent="0.25">
      <c r="A92" s="9" t="s">
        <v>115</v>
      </c>
      <c r="B92" s="10"/>
      <c r="C92" s="10"/>
      <c r="D92" s="10"/>
    </row>
    <row r="93" spans="1:4" x14ac:dyDescent="0.25">
      <c r="A93" s="1" t="s">
        <v>116</v>
      </c>
      <c r="B93" s="24">
        <v>-2565</v>
      </c>
      <c r="C93" s="24">
        <v>-60157</v>
      </c>
      <c r="D93" s="24">
        <v>-72479</v>
      </c>
    </row>
    <row r="94" spans="1:4" x14ac:dyDescent="0.25">
      <c r="A94" s="1" t="s">
        <v>144</v>
      </c>
      <c r="B94" s="24">
        <v>31601</v>
      </c>
      <c r="C94" s="24">
        <v>59384</v>
      </c>
      <c r="D94" s="24">
        <v>50237</v>
      </c>
    </row>
    <row r="95" spans="1:4" x14ac:dyDescent="0.25">
      <c r="A95" s="1" t="s">
        <v>117</v>
      </c>
      <c r="B95" s="24">
        <v>-63645</v>
      </c>
      <c r="C95" s="24">
        <v>-61053</v>
      </c>
      <c r="D95" s="24">
        <v>-40140</v>
      </c>
    </row>
    <row r="96" spans="1:4" x14ac:dyDescent="0.25">
      <c r="A96" s="1" t="s">
        <v>118</v>
      </c>
      <c r="B96" s="24">
        <v>-8316</v>
      </c>
      <c r="C96" s="24">
        <v>-1985</v>
      </c>
      <c r="D96" s="24">
        <v>-2325</v>
      </c>
    </row>
    <row r="97" spans="1:4" x14ac:dyDescent="0.25">
      <c r="A97" s="1" t="s">
        <v>145</v>
      </c>
      <c r="B97" s="24">
        <v>5324</v>
      </c>
      <c r="C97" s="24">
        <v>5657</v>
      </c>
      <c r="D97" s="24">
        <v>5096</v>
      </c>
    </row>
    <row r="98" spans="1:4" x14ac:dyDescent="0.25">
      <c r="A98" s="11" t="s">
        <v>119</v>
      </c>
      <c r="B98" s="12">
        <f>+SUM(B93:B97)</f>
        <v>-37601</v>
      </c>
      <c r="C98" s="12">
        <f>SUM(C93:C97)</f>
        <v>-58154</v>
      </c>
      <c r="D98" s="12">
        <f>SUM(D93:D97)</f>
        <v>-59611</v>
      </c>
    </row>
    <row r="99" spans="1:4" x14ac:dyDescent="0.25">
      <c r="A99" s="9" t="s">
        <v>120</v>
      </c>
      <c r="B99" s="35"/>
      <c r="C99" s="35"/>
      <c r="D99" s="35"/>
    </row>
    <row r="100" spans="1:4" x14ac:dyDescent="0.25">
      <c r="A100" s="1" t="s">
        <v>121</v>
      </c>
      <c r="B100" s="36">
        <v>0</v>
      </c>
      <c r="C100" s="36">
        <v>0</v>
      </c>
      <c r="D100" s="36">
        <v>0</v>
      </c>
    </row>
    <row r="101" spans="1:4" x14ac:dyDescent="0.25">
      <c r="A101" s="1" t="s">
        <v>122</v>
      </c>
      <c r="B101" s="10">
        <v>0</v>
      </c>
      <c r="C101" s="10">
        <v>0</v>
      </c>
      <c r="D101" s="10">
        <v>0</v>
      </c>
    </row>
    <row r="102" spans="1:4" x14ac:dyDescent="0.25">
      <c r="A102" s="1" t="s">
        <v>123</v>
      </c>
      <c r="B102" s="21">
        <v>-6000</v>
      </c>
      <c r="C102" s="10">
        <v>0</v>
      </c>
      <c r="D102" s="10">
        <v>0</v>
      </c>
    </row>
    <row r="103" spans="1:4" x14ac:dyDescent="0.25">
      <c r="A103" s="1" t="s">
        <v>124</v>
      </c>
      <c r="B103" s="10">
        <v>62719</v>
      </c>
      <c r="C103" s="10">
        <v>26959</v>
      </c>
      <c r="D103" s="10">
        <v>17321</v>
      </c>
    </row>
    <row r="104" spans="1:4" x14ac:dyDescent="0.25">
      <c r="A104" s="1" t="s">
        <v>125</v>
      </c>
      <c r="B104" s="10">
        <v>-38812</v>
      </c>
      <c r="C104" s="10">
        <v>-9343</v>
      </c>
      <c r="D104" s="10">
        <v>-7730</v>
      </c>
    </row>
    <row r="105" spans="1:4" x14ac:dyDescent="0.25">
      <c r="A105" s="1" t="s">
        <v>126</v>
      </c>
      <c r="B105" s="10">
        <v>0</v>
      </c>
      <c r="C105" s="10">
        <v>0</v>
      </c>
      <c r="D105" s="10">
        <v>0</v>
      </c>
    </row>
    <row r="106" spans="1:4" x14ac:dyDescent="0.25">
      <c r="A106" s="1" t="s">
        <v>110</v>
      </c>
      <c r="B106" s="31">
        <v>-8189</v>
      </c>
      <c r="C106" s="10">
        <v>-11325</v>
      </c>
      <c r="D106" s="10">
        <v>-10695</v>
      </c>
    </row>
    <row r="107" spans="1:4" x14ac:dyDescent="0.25">
      <c r="A107" s="11" t="s">
        <v>127</v>
      </c>
      <c r="B107" s="12">
        <f>SUM(B100:B106)</f>
        <v>9718</v>
      </c>
      <c r="C107" s="12">
        <f t="shared" ref="C107:D107" si="1">SUM(C100:C106)</f>
        <v>6291</v>
      </c>
      <c r="D107" s="12">
        <f t="shared" si="1"/>
        <v>-1104</v>
      </c>
    </row>
    <row r="108" spans="1:4" x14ac:dyDescent="0.25">
      <c r="A108" s="22" t="s">
        <v>128</v>
      </c>
      <c r="B108" s="32">
        <f>+B91+B98+B107</f>
        <v>55346</v>
      </c>
      <c r="C108" s="32">
        <f t="shared" ref="C108:D108" si="2">+C91+C98+C107</f>
        <v>36841</v>
      </c>
      <c r="D108" s="32">
        <f t="shared" si="2"/>
        <v>41759</v>
      </c>
    </row>
    <row r="109" spans="1:4" x14ac:dyDescent="0.25">
      <c r="A109" t="s">
        <v>146</v>
      </c>
      <c r="B109" s="21">
        <v>-1093</v>
      </c>
      <c r="C109" s="21">
        <v>-364</v>
      </c>
      <c r="D109" s="21">
        <v>618</v>
      </c>
    </row>
    <row r="110" spans="1:4" ht="15.75" thickBot="1" x14ac:dyDescent="0.3">
      <c r="A110" s="13" t="s">
        <v>129</v>
      </c>
      <c r="B110" s="38">
        <f>SUM(B108:B109)</f>
        <v>54253</v>
      </c>
      <c r="C110" s="38">
        <f t="shared" ref="C110:D110" si="3">SUM(C108:C109)</f>
        <v>36477</v>
      </c>
      <c r="D110" s="38">
        <f t="shared" si="3"/>
        <v>42377</v>
      </c>
    </row>
    <row r="111" spans="1:4" ht="15.75" thickTop="1" x14ac:dyDescent="0.25"/>
    <row r="112" spans="1:4" x14ac:dyDescent="0.25">
      <c r="A112" t="s">
        <v>130</v>
      </c>
    </row>
    <row r="113" spans="1:4" x14ac:dyDescent="0.25">
      <c r="A113" t="s">
        <v>131</v>
      </c>
      <c r="B113" s="40">
        <v>6035</v>
      </c>
      <c r="C113" s="40">
        <v>3688</v>
      </c>
      <c r="D113" s="40">
        <v>1713</v>
      </c>
    </row>
    <row r="114" spans="1:4" x14ac:dyDescent="0.25">
      <c r="A114" t="s">
        <v>132</v>
      </c>
      <c r="B114" s="10">
        <v>2142</v>
      </c>
      <c r="C114" s="10">
        <v>1772</v>
      </c>
      <c r="D114" s="10">
        <v>1630</v>
      </c>
    </row>
    <row r="115" spans="1:4" x14ac:dyDescent="0.25">
      <c r="B115" s="10"/>
      <c r="C115" s="10"/>
      <c r="D115" s="10"/>
    </row>
    <row r="116" spans="1:4" x14ac:dyDescent="0.25">
      <c r="B116" s="10"/>
      <c r="C116" s="10"/>
      <c r="D116" s="10"/>
    </row>
    <row r="117" spans="1:4" x14ac:dyDescent="0.25">
      <c r="B117" s="10"/>
      <c r="C117" s="10"/>
      <c r="D117" s="10"/>
    </row>
  </sheetData>
  <mergeCells count="6">
    <mergeCell ref="B72:D72"/>
    <mergeCell ref="A2:D2"/>
    <mergeCell ref="B3:D3"/>
    <mergeCell ref="A31:D31"/>
    <mergeCell ref="B32:D32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1"/>
  <sheetViews>
    <sheetView tabSelected="1" topLeftCell="A25" workbookViewId="0">
      <selection activeCell="E45" sqref="E45"/>
    </sheetView>
  </sheetViews>
  <sheetFormatPr defaultRowHeight="15" x14ac:dyDescent="0.25"/>
  <cols>
    <col min="1" max="1" width="4.7109375" customWidth="1"/>
    <col min="2" max="2" width="44.85546875" customWidth="1"/>
    <col min="3" max="5" width="10.5703125" bestFit="1" customWidth="1"/>
    <col min="6" max="6" width="23.85546875" customWidth="1"/>
  </cols>
  <sheetData>
    <row r="1" spans="1:10" ht="60" customHeight="1" x14ac:dyDescent="0.4">
      <c r="A1" s="7"/>
      <c r="B1" s="44" t="s">
        <v>139</v>
      </c>
      <c r="C1" s="17"/>
      <c r="D1" s="17"/>
      <c r="E1" s="17"/>
      <c r="F1" s="17" t="s">
        <v>153</v>
      </c>
      <c r="G1" s="17"/>
      <c r="H1" s="17"/>
      <c r="I1" s="17"/>
      <c r="J1" s="17"/>
    </row>
    <row r="2" spans="1:10" x14ac:dyDescent="0.25">
      <c r="C2" s="45" t="s">
        <v>57</v>
      </c>
      <c r="D2" s="45"/>
      <c r="E2" s="45"/>
    </row>
    <row r="3" spans="1:10" x14ac:dyDescent="0.25">
      <c r="C3" s="9">
        <v>2022</v>
      </c>
      <c r="D3" s="9">
        <v>2021</v>
      </c>
      <c r="E3" s="9">
        <v>2020</v>
      </c>
    </row>
    <row r="4" spans="1:10" x14ac:dyDescent="0.25">
      <c r="A4" s="18">
        <v>1</v>
      </c>
      <c r="B4" s="9" t="s">
        <v>13</v>
      </c>
    </row>
    <row r="5" spans="1:10" x14ac:dyDescent="0.25">
      <c r="A5" s="18">
        <f>+A4+0.1</f>
        <v>1.1000000000000001</v>
      </c>
      <c r="B5" s="1" t="s">
        <v>14</v>
      </c>
      <c r="C5" s="47">
        <f>'Financial Statements'!B40/'Financial Statements'!B54</f>
        <v>0.9446435811136924</v>
      </c>
      <c r="D5" s="47">
        <f>'Financial Statements'!C40/'Financial Statements'!C54</f>
        <v>1.1357597739445826</v>
      </c>
      <c r="E5" s="47">
        <f>'Financial Statements'!D40/'Financial Statements'!D54</f>
        <v>1.0502274795268425</v>
      </c>
    </row>
    <row r="6" spans="1:10" x14ac:dyDescent="0.25">
      <c r="A6" s="18">
        <f t="shared" ref="A6:A13" si="0">+A5+0.1</f>
        <v>1.2000000000000002</v>
      </c>
      <c r="B6" s="1" t="s">
        <v>15</v>
      </c>
      <c r="C6" s="47">
        <f>('Financial Statements'!B40-'Financial Statements'!B39)/'Financial Statements'!B54</f>
        <v>0.72323721145740161</v>
      </c>
      <c r="D6" s="47">
        <f>('Financial Statements'!C40-'Financial Statements'!C39)/'Financial Statements'!C54</f>
        <v>0.90633039517523517</v>
      </c>
      <c r="E6" s="47">
        <f>('Financial Statements'!D40-'Financial Statements'!D39)/'Financial Statements'!D54</f>
        <v>0.86195355461486722</v>
      </c>
    </row>
    <row r="7" spans="1:10" x14ac:dyDescent="0.25">
      <c r="A7" s="18">
        <f t="shared" si="0"/>
        <v>1.3000000000000003</v>
      </c>
      <c r="B7" s="1" t="s">
        <v>16</v>
      </c>
      <c r="C7" s="47">
        <f>'Financial Statements'!B36/'Financial Statements'!B54</f>
        <v>0.34678524772673158</v>
      </c>
      <c r="D7" s="47">
        <f>'Financial Statements'!C36/'Financial Statements'!C54</f>
        <v>0.25459350793583851</v>
      </c>
      <c r="E7" s="47">
        <f>'Financial Statements'!D36/'Financial Statements'!D54</f>
        <v>0.33328322190133325</v>
      </c>
    </row>
    <row r="8" spans="1:10" x14ac:dyDescent="0.25">
      <c r="A8" s="18">
        <f t="shared" si="0"/>
        <v>1.4000000000000004</v>
      </c>
      <c r="B8" s="1" t="s">
        <v>17</v>
      </c>
      <c r="C8" s="41">
        <f>'Financial Statements'!B40/(('Financial Statements'!B17-'Financial Statements'!B79)/365)</f>
        <v>116.52258304444841</v>
      </c>
      <c r="D8" s="41">
        <f>'Financial Statements'!C40/(('Financial Statements'!C17-'Financial Statements'!C79)/365)</f>
        <v>143.66690214611094</v>
      </c>
      <c r="E8" s="41">
        <f>'Financial Statements'!D40/(('Financial Statements'!D17-'Financial Statements'!D79)/365)</f>
        <v>143.34229329703982</v>
      </c>
    </row>
    <row r="9" spans="1:10" x14ac:dyDescent="0.25">
      <c r="A9" s="18">
        <f t="shared" si="0"/>
        <v>1.5000000000000004</v>
      </c>
      <c r="B9" s="1" t="s">
        <v>18</v>
      </c>
      <c r="C9" s="41">
        <f>365/('Financial Statements'!B9/'Financial Statements'!B40)</f>
        <v>185.50195443009926</v>
      </c>
      <c r="D9" s="41">
        <f>365/('Financial Statements'!C9/'Financial Statements'!C40)</f>
        <v>216.55222806450666</v>
      </c>
      <c r="E9" s="41">
        <f>365/('Financial Statements'!D9/'Financial Statements'!D40)</f>
        <v>207.65577115131563</v>
      </c>
      <c r="F9" t="s">
        <v>149</v>
      </c>
    </row>
    <row r="10" spans="1:10" x14ac:dyDescent="0.25">
      <c r="A10" s="18">
        <f t="shared" si="0"/>
        <v>1.6000000000000005</v>
      </c>
      <c r="B10" s="1" t="s">
        <v>19</v>
      </c>
      <c r="C10" s="41">
        <f>('Financial Statements'!B49*365)/'Financial Statements'!B9</f>
        <v>100.59169548975007</v>
      </c>
      <c r="D10" s="41">
        <f>('Financial Statements'!C49*365)/'Financial Statements'!C9</f>
        <v>105.42681314807743</v>
      </c>
      <c r="E10" s="41">
        <f>('Financial Statements'!D49*365)/'Financial Statements'!D9</f>
        <v>113.48452896826927</v>
      </c>
      <c r="F10" t="s">
        <v>148</v>
      </c>
    </row>
    <row r="11" spans="1:10" x14ac:dyDescent="0.25">
      <c r="A11" s="18">
        <f t="shared" si="0"/>
        <v>1.7000000000000006</v>
      </c>
      <c r="B11" s="1" t="s">
        <v>20</v>
      </c>
      <c r="C11" s="41">
        <f>('Financial Statements'!B38/'Financial Statements'!B8)*365</f>
        <v>30.081539661817608</v>
      </c>
      <c r="D11" s="41">
        <f>('Financial Statements'!C38/'Financial Statements'!C8)*365</f>
        <v>25.552688039299991</v>
      </c>
      <c r="E11" s="41">
        <f>('Financial Statements'!D38/'Financial Statements'!D8)*365</f>
        <v>23.202966347548593</v>
      </c>
    </row>
    <row r="12" spans="1:10" x14ac:dyDescent="0.25">
      <c r="A12" s="18">
        <f t="shared" si="0"/>
        <v>1.8000000000000007</v>
      </c>
      <c r="B12" s="1" t="s">
        <v>21</v>
      </c>
      <c r="C12" s="41">
        <f>C9+C11-C10</f>
        <v>114.9917986021668</v>
      </c>
      <c r="D12" s="41">
        <f t="shared" ref="D12:E12" si="1">D9+D11-D10</f>
        <v>136.67810295572923</v>
      </c>
      <c r="E12" s="41">
        <f t="shared" si="1"/>
        <v>117.37420853059496</v>
      </c>
    </row>
    <row r="13" spans="1:10" x14ac:dyDescent="0.25">
      <c r="A13" s="18">
        <f t="shared" si="0"/>
        <v>1.9000000000000008</v>
      </c>
      <c r="B13" s="1" t="s">
        <v>22</v>
      </c>
      <c r="C13" s="42">
        <f>C14/'Financial Statements'!B8</f>
        <v>-1.6735962084349094E-2</v>
      </c>
      <c r="D13" s="42">
        <f>D14/'Financial Statements'!C8</f>
        <v>4.1109186032156859E-2</v>
      </c>
      <c r="E13" s="42">
        <f>E14/'Financial Statements'!D8</f>
        <v>1.6442869576028845E-2</v>
      </c>
    </row>
    <row r="14" spans="1:10" x14ac:dyDescent="0.25">
      <c r="A14" s="18"/>
      <c r="B14" s="16" t="s">
        <v>23</v>
      </c>
      <c r="C14" s="43">
        <f>'Financial Statements'!B40-'Financial Statements'!B54</f>
        <v>-8602</v>
      </c>
      <c r="D14" s="43">
        <f>'Financial Statements'!C40-'Financial Statements'!C54</f>
        <v>19314</v>
      </c>
      <c r="E14" s="43">
        <f>'Financial Statements'!D40-'Financial Statements'!D54</f>
        <v>6348</v>
      </c>
    </row>
    <row r="15" spans="1:10" x14ac:dyDescent="0.25">
      <c r="A15" s="18"/>
      <c r="C15" s="41"/>
      <c r="D15" s="41"/>
      <c r="E15" s="41"/>
    </row>
    <row r="16" spans="1:10" x14ac:dyDescent="0.25">
      <c r="A16" s="18">
        <f>+A4+1</f>
        <v>2</v>
      </c>
      <c r="B16" s="19" t="s">
        <v>24</v>
      </c>
      <c r="C16" s="41"/>
      <c r="D16" s="41"/>
      <c r="E16" s="41"/>
    </row>
    <row r="17" spans="1:6" x14ac:dyDescent="0.25">
      <c r="A17" s="18">
        <f>+A16+0.1</f>
        <v>2.1</v>
      </c>
      <c r="B17" s="1" t="s">
        <v>10</v>
      </c>
      <c r="C17" s="42">
        <f>('Financial Statements'!B8-'Financial Statements'!B9)/'Financial Statements'!B8</f>
        <v>0.43805339865326287</v>
      </c>
      <c r="D17" s="42">
        <f>('Financial Statements'!C8-'Financial Statements'!C9)/'Financial Statements'!C8</f>
        <v>0.42032514441639601</v>
      </c>
      <c r="E17" s="42">
        <f>('Financial Statements'!D8-'Financial Statements'!D9)/'Financial Statements'!D8</f>
        <v>0.3956779186870571</v>
      </c>
    </row>
    <row r="18" spans="1:6" x14ac:dyDescent="0.25">
      <c r="A18" s="18">
        <f>+A17+0.1</f>
        <v>2.2000000000000002</v>
      </c>
      <c r="B18" s="1" t="s">
        <v>25</v>
      </c>
      <c r="C18" s="42">
        <f>C19/'Financial Statements'!B8</f>
        <v>0.10539064521589235</v>
      </c>
      <c r="D18" s="42">
        <f>D19/'Financial Statements'!C8</f>
        <v>0.12624355607017126</v>
      </c>
      <c r="E18" s="42">
        <f>E19/'Financial Statements'!D8</f>
        <v>0.12453634630527581</v>
      </c>
    </row>
    <row r="19" spans="1:6" x14ac:dyDescent="0.25">
      <c r="A19" s="18"/>
      <c r="B19" s="16" t="s">
        <v>26</v>
      </c>
      <c r="C19" s="41">
        <f>'Financial Statements'!B18+'Financial Statements'!B79</f>
        <v>54169</v>
      </c>
      <c r="D19" s="41">
        <f>'Financial Statements'!C18+'Financial Statements'!C79</f>
        <v>59312</v>
      </c>
      <c r="E19" s="41">
        <f>'Financial Statements'!D18+'Financial Statements'!D79</f>
        <v>48079</v>
      </c>
    </row>
    <row r="20" spans="1:6" x14ac:dyDescent="0.25">
      <c r="A20" s="18">
        <f>+A18+0.1</f>
        <v>2.3000000000000003</v>
      </c>
      <c r="B20" s="1" t="s">
        <v>27</v>
      </c>
      <c r="C20" s="42">
        <f>C21/'Financial Statements'!B8</f>
        <v>2.3829581912242232E-2</v>
      </c>
      <c r="D20" s="42">
        <f>D21/'Financial Statements'!C8</f>
        <v>5.2954097509269465E-2</v>
      </c>
      <c r="E20" s="42">
        <f>E21/'Financial Statements'!D8</f>
        <v>5.9313999751336569E-2</v>
      </c>
    </row>
    <row r="21" spans="1:6" x14ac:dyDescent="0.25">
      <c r="A21" s="18"/>
      <c r="B21" s="16" t="s">
        <v>28</v>
      </c>
      <c r="C21" s="41">
        <f>'Financial Statements'!B18</f>
        <v>12248</v>
      </c>
      <c r="D21" s="41">
        <f>'Financial Statements'!C18</f>
        <v>24879</v>
      </c>
      <c r="E21" s="41">
        <f>'Financial Statements'!D18</f>
        <v>22899</v>
      </c>
    </row>
    <row r="22" spans="1:6" x14ac:dyDescent="0.25">
      <c r="A22" s="18">
        <f>+A20+0.1</f>
        <v>2.4000000000000004</v>
      </c>
      <c r="B22" s="1" t="s">
        <v>29</v>
      </c>
      <c r="C22" s="42">
        <f>'Financial Statements'!B22/'Financial Statements'!B8</f>
        <v>-5.2958950004183018E-3</v>
      </c>
      <c r="D22" s="42">
        <f>'Financial Statements'!C22/'Financial Statements'!C8</f>
        <v>7.1014128755145567E-2</v>
      </c>
      <c r="E22" s="42">
        <f>'Financial Statements'!D22/'Financial Statements'!D8</f>
        <v>5.5252496995316841E-2</v>
      </c>
    </row>
    <row r="23" spans="1:6" x14ac:dyDescent="0.25">
      <c r="A23" s="18"/>
      <c r="C23" s="41"/>
      <c r="D23" s="41"/>
      <c r="E23" s="41"/>
    </row>
    <row r="24" spans="1:6" x14ac:dyDescent="0.25">
      <c r="A24" s="18">
        <f>+A16+1</f>
        <v>3</v>
      </c>
      <c r="B24" s="9" t="s">
        <v>30</v>
      </c>
      <c r="C24" s="41"/>
      <c r="D24" s="41"/>
      <c r="E24" s="41"/>
    </row>
    <row r="25" spans="1:6" x14ac:dyDescent="0.25">
      <c r="A25" s="18">
        <f>+A24+0.1</f>
        <v>3.1</v>
      </c>
      <c r="B25" s="1" t="s">
        <v>31</v>
      </c>
      <c r="C25" s="47">
        <f>'Financial Statements'!B57/'Financial Statements'!B68</f>
        <v>0.45979608745369516</v>
      </c>
      <c r="D25" s="47">
        <f>'Financial Statements'!C57/'Financial Statements'!C68</f>
        <v>0.35259141379435061</v>
      </c>
      <c r="E25" s="47">
        <f>'Financial Statements'!D57/'Financial Statements'!D68</f>
        <v>0.34062781037214679</v>
      </c>
    </row>
    <row r="26" spans="1:6" x14ac:dyDescent="0.25">
      <c r="A26" s="18">
        <f t="shared" ref="A26:A30" si="2">+A25+0.1</f>
        <v>3.2</v>
      </c>
      <c r="B26" s="1" t="s">
        <v>32</v>
      </c>
      <c r="C26" s="47">
        <f>('Financial Statements'!B53+'Financial Statements'!B57)/'Financial Statements'!B69</f>
        <v>0.14513427351812827</v>
      </c>
      <c r="D26" s="47">
        <f>('Financial Statements'!C53+'Financial Statements'!C57)/'Financial Statements'!C69</f>
        <v>0.11590563763081116</v>
      </c>
      <c r="E26" s="47">
        <f>('Financial Statements'!D53+'Financial Statements'!D57)/'Financial Statements'!D69</f>
        <v>9.9055091144009094E-2</v>
      </c>
      <c r="F26" t="s">
        <v>150</v>
      </c>
    </row>
    <row r="27" spans="1:6" x14ac:dyDescent="0.25">
      <c r="A27" s="18">
        <f t="shared" si="2"/>
        <v>3.3000000000000003</v>
      </c>
      <c r="B27" s="1" t="s">
        <v>33</v>
      </c>
      <c r="C27" s="47">
        <f>('Financial Statements'!B53+'Financial Statements'!B57)/('Financial Statements'!B53+'Financial Statements'!B57+'Financial Statements'!B69)</f>
        <v>0.12673996130797904</v>
      </c>
      <c r="D27" s="47">
        <f>('Financial Statements'!C53+'Financial Statements'!C57)/('Financial Statements'!C53+'Financial Statements'!C57+'Financial Statements'!C69)</f>
        <v>0.10386688060550658</v>
      </c>
      <c r="E27" s="47">
        <f>('Financial Statements'!D53+'Financial Statements'!D57)/('Financial Statements'!D53+'Financial Statements'!D57+'Financial Statements'!D69)</f>
        <v>9.0127503108968277E-2</v>
      </c>
      <c r="F27" t="s">
        <v>150</v>
      </c>
    </row>
    <row r="28" spans="1:6" x14ac:dyDescent="0.25">
      <c r="A28" s="18">
        <f t="shared" si="2"/>
        <v>3.4000000000000004</v>
      </c>
      <c r="B28" s="1" t="s">
        <v>34</v>
      </c>
      <c r="C28" s="41">
        <f>C21/'Financial Statements'!B114</f>
        <v>5.7180205415499534</v>
      </c>
      <c r="D28" s="41">
        <f>D21/'Financial Statements'!C114</f>
        <v>14.040067720090294</v>
      </c>
      <c r="E28" s="41">
        <f>E21/'Financial Statements'!D114</f>
        <v>14.048466257668712</v>
      </c>
    </row>
    <row r="29" spans="1:6" x14ac:dyDescent="0.25">
      <c r="A29" s="18">
        <f t="shared" si="2"/>
        <v>3.5000000000000004</v>
      </c>
      <c r="B29" s="1" t="s">
        <v>35</v>
      </c>
      <c r="C29" s="43">
        <f>C21/('Financial Statements'!B114+'Financial Statements'!B104)</f>
        <v>-0.33400599945459503</v>
      </c>
      <c r="D29" s="43">
        <f>D21/('Financial Statements'!C114+'Financial Statements'!C104)</f>
        <v>-3.2860916655659755</v>
      </c>
      <c r="E29" s="43">
        <f>E21/('Financial Statements'!D114+'Financial Statements'!D104)</f>
        <v>-3.7539344262295082</v>
      </c>
      <c r="F29" t="s">
        <v>151</v>
      </c>
    </row>
    <row r="30" spans="1:6" x14ac:dyDescent="0.25">
      <c r="A30" s="18">
        <f t="shared" si="2"/>
        <v>3.6000000000000005</v>
      </c>
      <c r="B30" s="1" t="s">
        <v>36</v>
      </c>
      <c r="C30" s="41">
        <f>C31/'Financial Statements'!B28</f>
        <v>8.077632741191481</v>
      </c>
      <c r="D30" s="41">
        <f>D31/'Financial Statements'!C28</f>
        <v>5.3040015540015544</v>
      </c>
      <c r="E30" s="41">
        <f>E31/'Financial Statements'!D28</f>
        <v>7.8108452637772112</v>
      </c>
    </row>
    <row r="31" spans="1:6" x14ac:dyDescent="0.25">
      <c r="A31" s="18"/>
      <c r="B31" s="16" t="s">
        <v>37</v>
      </c>
      <c r="C31" s="41">
        <f>'Financial Statements'!B91+'Financial Statements'!B95+'Financial Statements'!B103</f>
        <v>82303</v>
      </c>
      <c r="D31" s="41">
        <f>'Financial Statements'!C91+'Financial Statements'!C95+'Financial Statements'!C103</f>
        <v>54610</v>
      </c>
      <c r="E31" s="41">
        <f>'Financial Statements'!D91+'Financial Statements'!D95+'Financial Statements'!D103</f>
        <v>79655</v>
      </c>
    </row>
    <row r="32" spans="1:6" x14ac:dyDescent="0.25">
      <c r="A32" s="18"/>
      <c r="C32" s="41"/>
      <c r="D32" s="41"/>
      <c r="E32" s="41"/>
    </row>
    <row r="33" spans="1:6" x14ac:dyDescent="0.25">
      <c r="A33" s="18">
        <f>+A24+1</f>
        <v>4</v>
      </c>
      <c r="B33" s="19" t="s">
        <v>38</v>
      </c>
      <c r="C33" s="41"/>
      <c r="D33" s="41"/>
      <c r="E33" s="41"/>
    </row>
    <row r="34" spans="1:6" x14ac:dyDescent="0.25">
      <c r="A34" s="18">
        <f>+A33+0.1</f>
        <v>4.0999999999999996</v>
      </c>
      <c r="B34" s="1" t="s">
        <v>39</v>
      </c>
      <c r="C34" s="43">
        <f>'Financial Statements'!B46/'Financial Statements'!B8</f>
        <v>0.90017568674450321</v>
      </c>
      <c r="D34" s="43">
        <f>'Financial Statements'!C46/'Financial Statements'!C8</f>
        <v>0.89512411083346455</v>
      </c>
      <c r="E34" s="43">
        <f>'Financial Statements'!D46/'Financial Statements'!D8</f>
        <v>0.83197345517841603</v>
      </c>
    </row>
    <row r="35" spans="1:6" x14ac:dyDescent="0.25">
      <c r="A35" s="18">
        <f t="shared" ref="A35:A37" si="3">+A34+0.1</f>
        <v>4.1999999999999993</v>
      </c>
      <c r="B35" s="1" t="s">
        <v>40</v>
      </c>
      <c r="C35" s="43">
        <f>'Financial Statements'!B8/(('Financial Statements'!B43+'Financial Statements'!C43)/2)</f>
        <v>2.9624721898811512</v>
      </c>
      <c r="D35" s="43">
        <f>'Financial Statements'!C8/(('Financial Statements'!C43+'Financial Statements'!D43)/2)</f>
        <v>3.4369465425483274</v>
      </c>
      <c r="E35" s="43"/>
    </row>
    <row r="36" spans="1:6" x14ac:dyDescent="0.25">
      <c r="A36" s="18">
        <f t="shared" si="3"/>
        <v>4.2999999999999989</v>
      </c>
      <c r="B36" s="1" t="s">
        <v>41</v>
      </c>
      <c r="C36" s="43">
        <f>'Financial Statements'!B9/(('Financial Statements'!B39+'Financial Statements'!C39)/2)</f>
        <v>8.6160340070102173</v>
      </c>
      <c r="D36" s="43">
        <f>'Financial Statements'!C9/(('Financial Statements'!C39+'Financial Statements'!D39)/2)</f>
        <v>9.6515991849029863</v>
      </c>
      <c r="E36" s="43"/>
    </row>
    <row r="37" spans="1:6" x14ac:dyDescent="0.25">
      <c r="A37" s="18">
        <f t="shared" si="3"/>
        <v>4.3999999999999986</v>
      </c>
      <c r="B37" s="1" t="s">
        <v>42</v>
      </c>
      <c r="C37" s="43">
        <f>'Financial Statements'!B22/'Financial Statements'!B46</f>
        <v>-5.8831793375479545E-3</v>
      </c>
      <c r="D37" s="43">
        <f>'Financial Statements'!C22/'Financial Statements'!C46</f>
        <v>7.9334393851846041E-2</v>
      </c>
      <c r="E37" s="43">
        <f>'Financial Statements'!D22/'Financial Statements'!D46</f>
        <v>6.6411370040006856E-2</v>
      </c>
    </row>
    <row r="38" spans="1:6" x14ac:dyDescent="0.25">
      <c r="A38" s="18"/>
      <c r="C38" s="41"/>
      <c r="D38" s="41"/>
      <c r="E38" s="41"/>
    </row>
    <row r="39" spans="1:6" x14ac:dyDescent="0.25">
      <c r="A39" s="18">
        <f>+A33+1</f>
        <v>5</v>
      </c>
      <c r="B39" s="19" t="s">
        <v>43</v>
      </c>
      <c r="C39" s="41"/>
      <c r="D39" s="41"/>
      <c r="E39" s="41"/>
    </row>
    <row r="40" spans="1:6" x14ac:dyDescent="0.25">
      <c r="A40" s="18">
        <f>+A39+0.1</f>
        <v>5.0999999999999996</v>
      </c>
      <c r="B40" s="1" t="s">
        <v>44</v>
      </c>
      <c r="C40" s="43">
        <f>113/'Financial Statements'!B25</f>
        <v>-418.51851851851848</v>
      </c>
      <c r="D40" s="43">
        <f>164.25/'Financial Statements'!C25</f>
        <v>50.694444444444443</v>
      </c>
      <c r="E40" s="43">
        <f>157.44/'Financial Statements'!D25</f>
        <v>75.330143540669866</v>
      </c>
    </row>
    <row r="41" spans="1:6" x14ac:dyDescent="0.25">
      <c r="A41" s="18">
        <f t="shared" ref="A41:A44" si="4">+A40+0.1</f>
        <v>5.1999999999999993</v>
      </c>
      <c r="B41" s="16" t="s">
        <v>45</v>
      </c>
      <c r="C41" s="43">
        <f>('Financial Statements'!B22)/'Financial Statements'!B28</f>
        <v>-0.2671508489547551</v>
      </c>
      <c r="D41" s="43">
        <f>('Financial Statements'!C22)/'Financial Statements'!C28</f>
        <v>3.2404817404817403</v>
      </c>
      <c r="E41" s="43">
        <f>('Financial Statements'!D22)/'Financial Statements'!D28</f>
        <v>2.0916846440478527</v>
      </c>
    </row>
    <row r="42" spans="1:6" x14ac:dyDescent="0.25">
      <c r="A42" s="18">
        <f t="shared" si="4"/>
        <v>5.2999999999999989</v>
      </c>
      <c r="B42" s="1" t="s">
        <v>46</v>
      </c>
      <c r="C42" s="43">
        <f>113/C43</f>
        <v>7.8836849421060924</v>
      </c>
      <c r="D42" s="43">
        <f>164.25/D43</f>
        <v>12.232760678505551</v>
      </c>
      <c r="E42" s="43">
        <f>157.44/E43</f>
        <v>17.189554194681168</v>
      </c>
    </row>
    <row r="43" spans="1:6" x14ac:dyDescent="0.25">
      <c r="A43" s="18">
        <f t="shared" si="4"/>
        <v>5.3999999999999986</v>
      </c>
      <c r="B43" s="16" t="s">
        <v>47</v>
      </c>
      <c r="C43" s="43">
        <f>('Financial Statements'!B68)/'Financial Statements'!B28</f>
        <v>14.333398763372264</v>
      </c>
      <c r="D43" s="43">
        <f>('Financial Statements'!C68)/'Financial Statements'!C28</f>
        <v>13.427059052059052</v>
      </c>
      <c r="E43" s="43">
        <f>('Financial Statements'!D68)/'Financial Statements'!D28</f>
        <v>9.1590507942733872</v>
      </c>
    </row>
    <row r="44" spans="1:6" x14ac:dyDescent="0.25">
      <c r="A44" s="18">
        <f t="shared" si="4"/>
        <v>5.4999999999999982</v>
      </c>
      <c r="B44" s="1" t="s">
        <v>48</v>
      </c>
      <c r="C44" s="43">
        <v>0</v>
      </c>
      <c r="D44" s="43">
        <v>0</v>
      </c>
      <c r="E44" s="43">
        <v>0</v>
      </c>
    </row>
    <row r="45" spans="1:6" x14ac:dyDescent="0.25">
      <c r="A45" s="18"/>
      <c r="B45" s="16" t="s">
        <v>49</v>
      </c>
      <c r="C45" s="43">
        <v>0</v>
      </c>
      <c r="D45" s="43">
        <v>0</v>
      </c>
      <c r="E45" s="43">
        <v>0</v>
      </c>
    </row>
    <row r="46" spans="1:6" x14ac:dyDescent="0.25">
      <c r="A46" s="18">
        <f>+A44+0.1</f>
        <v>5.5999999999999979</v>
      </c>
      <c r="B46" s="1" t="s">
        <v>50</v>
      </c>
      <c r="C46" s="43">
        <v>0</v>
      </c>
      <c r="D46" s="43">
        <v>0</v>
      </c>
      <c r="E46" s="43">
        <v>0</v>
      </c>
    </row>
    <row r="47" spans="1:6" x14ac:dyDescent="0.25">
      <c r="A47" s="18">
        <f t="shared" ref="A47:A50" si="5">+A45+0.1</f>
        <v>0.1</v>
      </c>
      <c r="B47" s="1" t="s">
        <v>51</v>
      </c>
      <c r="C47" s="43">
        <f>'Financial Statements'!B22/'Financial Statements'!B68</f>
        <v>-1.8638346240490815E-2</v>
      </c>
      <c r="D47" s="43">
        <f>'Financial Statements'!C22/'Financial Statements'!C68</f>
        <v>0.2413396506202756</v>
      </c>
      <c r="E47" s="43">
        <f>'Financial Statements'!D22/'Financial Statements'!D68</f>
        <v>0.22837351719412444</v>
      </c>
    </row>
    <row r="48" spans="1:6" x14ac:dyDescent="0.25">
      <c r="A48" s="18">
        <f t="shared" si="5"/>
        <v>5.6999999999999975</v>
      </c>
      <c r="B48" s="1" t="s">
        <v>52</v>
      </c>
      <c r="C48" s="43">
        <f>C21/('Financial Statements'!B53+'Financial Statements'!B68)</f>
        <v>8.3865710783810249E-2</v>
      </c>
      <c r="D48" s="43">
        <f>D21/('Financial Statements'!C53+'Financial Statements'!C68)</f>
        <v>0.17996310897319975</v>
      </c>
      <c r="E48" s="43">
        <f>E21/('Financial Statements'!D53+'Financial Statements'!D68)</f>
        <v>0.24516080681769517</v>
      </c>
      <c r="F48" t="s">
        <v>152</v>
      </c>
    </row>
    <row r="49" spans="1:5" x14ac:dyDescent="0.25">
      <c r="A49" s="18">
        <f t="shared" si="5"/>
        <v>0.2</v>
      </c>
      <c r="B49" s="1" t="s">
        <v>42</v>
      </c>
      <c r="C49" s="43">
        <f>'Financial Statements'!B22/'Financial Statements'!B46</f>
        <v>-5.8831793375479545E-3</v>
      </c>
      <c r="D49" s="43">
        <f>'Financial Statements'!C22/'Financial Statements'!C46</f>
        <v>7.9334393851846041E-2</v>
      </c>
      <c r="E49" s="43">
        <f>'Financial Statements'!D22/'Financial Statements'!D46</f>
        <v>6.6411370040006856E-2</v>
      </c>
    </row>
    <row r="50" spans="1:5" x14ac:dyDescent="0.25">
      <c r="A50" s="18">
        <f t="shared" si="5"/>
        <v>5.7999999999999972</v>
      </c>
      <c r="B50" s="1" t="s">
        <v>53</v>
      </c>
      <c r="C50" s="43">
        <f>C51/C19</f>
        <v>21.49973231922317</v>
      </c>
      <c r="D50" s="43">
        <f t="shared" ref="D50:E50" si="6">D51/D19</f>
        <v>28.723394928513624</v>
      </c>
      <c r="E50" s="43">
        <f t="shared" si="6"/>
        <v>33.180122714698726</v>
      </c>
    </row>
    <row r="51" spans="1:5" x14ac:dyDescent="0.25">
      <c r="A51" s="18"/>
      <c r="B51" s="16" t="s">
        <v>54</v>
      </c>
      <c r="C51" s="41">
        <f>(113*'Financial Statements'!B28)+('Financial Statements'!B53+'Financial Statements'!B57)-'Financial Statements'!B36</f>
        <v>1164619</v>
      </c>
      <c r="D51" s="41">
        <f>(164.25*'Financial Statements'!C28)+('Financial Statements'!C53+'Financial Statements'!C57)-'Financial Statements'!C36</f>
        <v>1703642</v>
      </c>
      <c r="E51" s="41">
        <f>(157.44*'Financial Statements'!D28)+('Financial Statements'!D53+'Financial Statements'!D57)-'Financial Statements'!D36</f>
        <v>1595267.1199999999</v>
      </c>
    </row>
  </sheetData>
  <mergeCells count="1">
    <mergeCell ref="C2:E2"/>
  </mergeCells>
  <pageMargins left="0.7" right="0.7" top="0.75" bottom="0.75" header="0.3" footer="0.3"/>
  <pageSetup paperSize="9" orientation="portrait" r:id="rId1"/>
  <ignoredErrors>
    <ignoredError sqref="C19:E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Waqas Albert</cp:lastModifiedBy>
  <dcterms:created xsi:type="dcterms:W3CDTF">2020-05-19T16:15:53Z</dcterms:created>
  <dcterms:modified xsi:type="dcterms:W3CDTF">2024-04-12T16:32:40Z</dcterms:modified>
</cp:coreProperties>
</file>