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3040" windowHeight="9060" activeTab="2"/>
  </bookViews>
  <sheets>
    <sheet name="Instructions" sheetId="2" r:id="rId1"/>
    <sheet name="Financial Statements" sheetId="1" r:id="rId2"/>
    <sheet name="List of Ratio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3" l="1"/>
  <c r="D33" i="3" l="1"/>
  <c r="D32" i="3" s="1"/>
  <c r="C33" i="3"/>
  <c r="C32" i="3" s="1"/>
  <c r="C30" i="3"/>
  <c r="E9" i="3"/>
  <c r="E8" i="3" s="1"/>
  <c r="D9" i="3"/>
  <c r="D8" i="3" s="1"/>
  <c r="C9" i="3"/>
  <c r="C8" i="3" s="1"/>
  <c r="E10" i="3"/>
  <c r="D10" i="3"/>
  <c r="C10" i="3"/>
  <c r="D98" i="3"/>
  <c r="D97" i="3" s="1"/>
  <c r="C98" i="3"/>
  <c r="C97" i="3" s="1"/>
  <c r="E95" i="3"/>
  <c r="D95" i="3"/>
  <c r="C95" i="3"/>
  <c r="C92" i="3"/>
  <c r="E91" i="3"/>
  <c r="D91" i="3"/>
  <c r="C91" i="3"/>
  <c r="E89" i="3"/>
  <c r="D89" i="3"/>
  <c r="C89" i="3"/>
  <c r="E88" i="3"/>
  <c r="D88" i="3"/>
  <c r="C88" i="3"/>
  <c r="E85" i="3"/>
  <c r="D85" i="3"/>
  <c r="C85" i="3"/>
  <c r="D81" i="3"/>
  <c r="C81" i="3"/>
  <c r="D80" i="3"/>
  <c r="C80" i="3"/>
  <c r="D79" i="3"/>
  <c r="C79" i="3"/>
  <c r="D78" i="3"/>
  <c r="C78" i="3"/>
  <c r="D77" i="3"/>
  <c r="C77" i="3"/>
  <c r="D76" i="3"/>
  <c r="C76" i="3"/>
  <c r="D75" i="3"/>
  <c r="C75" i="3"/>
  <c r="D74" i="3"/>
  <c r="C74" i="3"/>
  <c r="D71" i="3"/>
  <c r="C71" i="3"/>
  <c r="D70" i="3"/>
  <c r="C70" i="3"/>
  <c r="D68" i="3"/>
  <c r="C68" i="3"/>
  <c r="D67" i="3"/>
  <c r="C67" i="3"/>
  <c r="C58" i="3"/>
  <c r="E58" i="3"/>
  <c r="D58" i="3"/>
  <c r="E54" i="3"/>
  <c r="D54" i="3"/>
  <c r="C54" i="3"/>
  <c r="E52" i="3"/>
  <c r="D52" i="3"/>
  <c r="D53" i="3" s="1"/>
  <c r="C52" i="3"/>
  <c r="C53" i="3" s="1"/>
  <c r="E49" i="3"/>
  <c r="D49" i="3"/>
  <c r="D48" i="3" s="1"/>
  <c r="C49" i="3"/>
  <c r="C48" i="3" s="1"/>
  <c r="E50" i="3"/>
  <c r="D50" i="3"/>
  <c r="C50" i="3"/>
  <c r="E47" i="3"/>
  <c r="E45" i="3" s="1"/>
  <c r="D47" i="3"/>
  <c r="D45" i="3" s="1"/>
  <c r="C47" i="3"/>
  <c r="C45" i="3" s="1"/>
  <c r="D39" i="3"/>
  <c r="D38" i="3" s="1"/>
  <c r="C39" i="3"/>
  <c r="C38" i="3" s="1"/>
  <c r="D41" i="3"/>
  <c r="D40" i="3" s="1"/>
  <c r="C41" i="3"/>
  <c r="C40" i="3" s="1"/>
  <c r="E41" i="3"/>
  <c r="E40" i="3" s="1"/>
  <c r="E39" i="3"/>
  <c r="E38" i="3" s="1"/>
  <c r="E37" i="3"/>
  <c r="E36" i="3" s="1"/>
  <c r="D37" i="3"/>
  <c r="D36" i="3" s="1"/>
  <c r="C37" i="3"/>
  <c r="C36" i="3" s="1"/>
  <c r="E29" i="3"/>
  <c r="D29" i="3"/>
  <c r="C29" i="3"/>
  <c r="E28" i="3"/>
  <c r="D28" i="3"/>
  <c r="C28" i="3"/>
  <c r="E27" i="3"/>
  <c r="D27" i="3"/>
  <c r="C27" i="3"/>
  <c r="E24" i="3"/>
  <c r="E92" i="3" s="1"/>
  <c r="D24" i="3"/>
  <c r="D92" i="3" s="1"/>
  <c r="C24" i="3"/>
  <c r="E23" i="3"/>
  <c r="E55" i="3" s="1"/>
  <c r="D23" i="3"/>
  <c r="D55" i="3" s="1"/>
  <c r="C23" i="3"/>
  <c r="C55" i="3" s="1"/>
  <c r="E22" i="3"/>
  <c r="D22" i="3"/>
  <c r="C22" i="3"/>
  <c r="E21" i="3"/>
  <c r="E20" i="3" s="1"/>
  <c r="D21" i="3"/>
  <c r="D20" i="3" s="1"/>
  <c r="C21" i="3"/>
  <c r="C20" i="3" s="1"/>
  <c r="E19" i="3"/>
  <c r="E86" i="3" s="1"/>
  <c r="D19" i="3"/>
  <c r="D86" i="3" s="1"/>
  <c r="C19" i="3"/>
  <c r="C86" i="3" s="1"/>
  <c r="E16" i="3"/>
  <c r="E15" i="3" s="1"/>
  <c r="D16" i="3"/>
  <c r="D15" i="3" s="1"/>
  <c r="C16" i="3"/>
  <c r="C15" i="3" s="1"/>
  <c r="E13" i="3"/>
  <c r="D13" i="3"/>
  <c r="C13" i="3"/>
  <c r="E12" i="3"/>
  <c r="D12" i="3"/>
  <c r="C12" i="3"/>
  <c r="E11" i="3"/>
  <c r="D11" i="3"/>
  <c r="C11" i="3"/>
  <c r="E7" i="3"/>
  <c r="D7" i="3"/>
  <c r="C7" i="3"/>
  <c r="E6" i="3"/>
  <c r="D6" i="3"/>
  <c r="C6" i="3"/>
  <c r="E5" i="3"/>
  <c r="D5" i="3"/>
  <c r="C5" i="3"/>
  <c r="C96" i="3" l="1"/>
  <c r="D96" i="3"/>
  <c r="E51" i="3"/>
  <c r="E53" i="3"/>
  <c r="E31" i="3"/>
  <c r="C51" i="3"/>
  <c r="D51" i="3"/>
  <c r="C56" i="3"/>
  <c r="C31" i="3"/>
  <c r="D31" i="3"/>
  <c r="C57" i="3"/>
  <c r="D56" i="3"/>
  <c r="E56" i="3"/>
  <c r="D57" i="3"/>
  <c r="E57" i="3"/>
  <c r="E42" i="3"/>
  <c r="D42" i="3"/>
  <c r="C42" i="3"/>
  <c r="D14" i="3"/>
  <c r="E14" i="3"/>
  <c r="C14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B8" i="1"/>
  <c r="B13" i="1" s="1"/>
  <c r="E3" i="3"/>
  <c r="D3" i="3"/>
  <c r="C3" i="3"/>
  <c r="D33" i="1"/>
  <c r="D73" i="1" s="1"/>
  <c r="C33" i="1"/>
  <c r="C73" i="1" s="1"/>
  <c r="B33" i="1"/>
  <c r="B73" i="1" s="1"/>
  <c r="C18" i="1" l="1"/>
  <c r="C20" i="1" s="1"/>
  <c r="C22" i="1" s="1"/>
  <c r="C76" i="1" s="1"/>
  <c r="C91" i="1" s="1"/>
  <c r="C10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54" i="3"/>
  <c r="A56" i="3" s="1"/>
  <c r="A18" i="3"/>
  <c r="A19" i="3" s="1"/>
  <c r="A20" i="3" s="1"/>
  <c r="A22" i="3" s="1"/>
  <c r="A24" i="3" s="1"/>
  <c r="A5" i="3"/>
  <c r="A6" i="3" s="1"/>
  <c r="A7" i="3" s="1"/>
  <c r="A8" i="3" s="1"/>
  <c r="A11" i="3" s="1"/>
  <c r="A12" i="3" s="1"/>
  <c r="A13" i="3" s="1"/>
  <c r="A14" i="3" s="1"/>
  <c r="A15" i="3" s="1"/>
  <c r="A26" i="3" l="1"/>
  <c r="A27" i="3" s="1"/>
  <c r="A28" i="3" s="1"/>
  <c r="A29" i="3" s="1"/>
  <c r="A30" i="3" s="1"/>
  <c r="A31" i="3" s="1"/>
  <c r="A32" i="3" s="1"/>
  <c r="A35" i="3"/>
  <c r="A44" i="3" l="1"/>
  <c r="A45" i="3" s="1"/>
  <c r="A47" i="3" s="1"/>
  <c r="A48" i="3" s="1"/>
  <c r="A50" i="3" s="1"/>
  <c r="A51" i="3" s="1"/>
  <c r="A53" i="3" s="1"/>
  <c r="A55" i="3" s="1"/>
  <c r="A57" i="3" s="1"/>
  <c r="A36" i="3"/>
  <c r="A38" i="3" s="1"/>
  <c r="A40" i="3" s="1"/>
  <c r="A42" i="3" s="1"/>
</calcChain>
</file>

<file path=xl/sharedStrings.xml><?xml version="1.0" encoding="utf-8"?>
<sst xmlns="http://schemas.openxmlformats.org/spreadsheetml/2006/main" count="223" uniqueCount="178">
  <si>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</si>
  <si>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</si>
  <si>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</si>
  <si>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</si>
  <si>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</si>
  <si>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</si>
  <si>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</si>
  <si>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</si>
  <si>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</si>
  <si>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</si>
  <si>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</si>
  <si>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</si>
  <si>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</si>
  <si>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</si>
  <si>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</si>
  <si>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</si>
  <si>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</si>
  <si>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</si>
  <si>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</si>
  <si>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</si>
  <si>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</si>
  <si>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</si>
  <si>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</si>
  <si>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</si>
  <si>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</si>
  <si>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</si>
  <si>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</si>
  <si>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</si>
  <si>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</si>
  <si>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</si>
  <si>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</si>
  <si>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</si>
  <si>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</si>
  <si>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</si>
  <si>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</si>
  <si>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</si>
  <si>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</si>
  <si>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</si>
  <si>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</si>
  <si>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</si>
  <si>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</si>
  <si>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</si>
  <si>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</si>
  <si>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</si>
  <si>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</si>
  <si>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</si>
  <si>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</si>
  <si>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</si>
  <si>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</si>
  <si>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</si>
  <si>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</si>
  <si>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</si>
  <si>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</si>
  <si>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</si>
  <si>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</si>
  <si>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</si>
  <si>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</si>
  <si>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</si>
  <si>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</si>
  <si>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</si>
  <si>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</si>
  <si>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</si>
  <si>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</si>
  <si>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</si>
  <si>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</si>
  <si>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</si>
  <si>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</si>
  <si>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</si>
  <si>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</si>
  <si>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</si>
  <si>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</si>
  <si>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</si>
  <si>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</si>
  <si>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</si>
  <si>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</si>
  <si>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</si>
  <si>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</si>
  <si>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</si>
  <si>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</si>
  <si>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</si>
  <si>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</si>
  <si>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</si>
  <si>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</si>
  <si>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</si>
  <si>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</si>
  <si>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</si>
  <si>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</si>
  <si>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</si>
  <si>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</si>
  <si>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</si>
  <si>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</si>
  <si>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</si>
  <si>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</si>
  <si>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</si>
  <si>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</si>
  <si>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</si>
  <si>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</si>
  <si>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</si>
  <si>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</si>
  <si>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</si>
  <si>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</si>
  <si>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</si>
  <si>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</si>
  <si>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</si>
  <si>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</si>
  <si>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</si>
  <si>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</si>
  <si>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</si>
  <si>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</si>
  <si>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</si>
  <si>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</si>
  <si>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</si>
  <si>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</si>
  <si>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</si>
  <si>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</si>
  <si>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</si>
  <si>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</si>
  <si>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</si>
  <si>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</si>
  <si>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</si>
  <si>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</si>
  <si>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</si>
  <si>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</si>
  <si>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</si>
  <si>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</si>
  <si>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</si>
  <si>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</si>
  <si>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</si>
  <si>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</si>
  <si>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</si>
  <si>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</si>
  <si>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</si>
  <si>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</si>
  <si>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</si>
  <si>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</si>
  <si>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</si>
  <si>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</si>
  <si>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</si>
  <si>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</si>
  <si>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</si>
  <si>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</si>
  <si>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</si>
  <si>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</si>
  <si>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</si>
  <si>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</si>
  <si>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</si>
  <si>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</si>
  <si>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</si>
  <si>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</si>
  <si>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</si>
  <si>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Average total asset</t>
  </si>
  <si>
    <t>Average fixed asset</t>
  </si>
  <si>
    <t>Average inventory</t>
  </si>
  <si>
    <t xml:space="preserve">Share price </t>
  </si>
  <si>
    <t>Book value</t>
  </si>
  <si>
    <t>Calculate the growth rates for the following:</t>
  </si>
  <si>
    <t>Calculate margins/ as a % of net sales for the following:</t>
  </si>
  <si>
    <t>Calculate the following additional items</t>
  </si>
  <si>
    <t>Each operating expenses:</t>
  </si>
  <si>
    <t>Main line items of the balance sheet:</t>
  </si>
  <si>
    <t>Capex</t>
  </si>
  <si>
    <t>non-cash charges</t>
  </si>
  <si>
    <t>Daily operational expense</t>
  </si>
  <si>
    <t>outstanding shares</t>
  </si>
  <si>
    <t>( Cash + Cash Equivalents + Marketable Securities + Net Accounts Receivable)/ Current Liabilities</t>
  </si>
  <si>
    <t>( Cash + Cash Equivalents + Marketable Securities )/Current Liabilities</t>
  </si>
  <si>
    <t>Term debt (under long term liabilities)/Total shareholder equity</t>
  </si>
  <si>
    <t>Include only long term debt other items are not considered long term debt, rather they are liabilities</t>
  </si>
  <si>
    <t>For debt link only long term debt other items are not considered long term debt, rather they are liabilities</t>
  </si>
  <si>
    <t>Net Operating Income/ (Interest + Debt repayment)</t>
  </si>
  <si>
    <t>Net Operating Income/ Interest paid</t>
  </si>
  <si>
    <t>Cash from operations + Capex + Net debt issued</t>
  </si>
  <si>
    <t>Note that the three statements are in millions and the share count is in absolute value, therefore multiply the number by 1000</t>
  </si>
  <si>
    <t>Use only Shareholder equity and Term debt for capital employed. Other items are not actual capital</t>
  </si>
  <si>
    <t>Market Cap + Total Debt - (Cash + Cash Equivalents)</t>
  </si>
  <si>
    <t>Do not multiply the formulas by 100, use the % formatting instead</t>
  </si>
  <si>
    <t>Purchase of property plant and equipment in cash flow statement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</si>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</sst>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Border="1"/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2" fontId="0" fillId="0" borderId="0" xfId="0" applyNumberFormat="1"/>
    <xf numFmtId="0" fontId="0" fillId="0" borderId="0" xfId="0" applyNumberFormat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A14" sqref="A14:A24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opLeftCell="A22" workbookViewId="0">
      <selection activeCell="D25" sqref="D25"/>
    </sheetView>
  </sheetViews>
  <sheetFormatPr defaultRowHeight="14.4" x14ac:dyDescent="0.3"/>
  <cols>
    <col min="1" max="1" width="64.44140625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30" t="s">
        <v>1</v>
      </c>
      <c r="B2" s="30"/>
      <c r="C2" s="30"/>
      <c r="D2" s="30"/>
    </row>
    <row r="3" spans="1:10" x14ac:dyDescent="0.3">
      <c r="B3" s="29" t="s">
        <v>23</v>
      </c>
      <c r="C3" s="29"/>
      <c r="D3" s="29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21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30" t="s">
        <v>24</v>
      </c>
      <c r="B31" s="30"/>
      <c r="C31" s="30"/>
      <c r="D31" s="30"/>
    </row>
    <row r="32" spans="1:4" x14ac:dyDescent="0.3">
      <c r="B32" s="29" t="s">
        <v>142</v>
      </c>
      <c r="C32" s="29"/>
      <c r="D32" s="29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3" t="s">
        <v>53</v>
      </c>
      <c r="B61" s="22">
        <f>+B59+B60</f>
        <v>148101</v>
      </c>
      <c r="C61" s="22">
        <f t="shared" ref="C61:D61" si="13">+C59+C60</f>
        <v>162431</v>
      </c>
      <c r="D61" s="22">
        <f t="shared" si="1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30" t="s">
        <v>55</v>
      </c>
      <c r="B71" s="30"/>
      <c r="C71" s="30"/>
      <c r="D71" s="30"/>
    </row>
    <row r="72" spans="1:4" x14ac:dyDescent="0.3">
      <c r="B72" s="29" t="s">
        <v>23</v>
      </c>
      <c r="C72" s="29"/>
      <c r="D72" s="29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/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tabSelected="1" zoomScale="85" zoomScaleNormal="85" workbookViewId="0">
      <selection activeCell="F1" sqref="F1"/>
    </sheetView>
  </sheetViews>
  <sheetFormatPr defaultRowHeight="14.4" x14ac:dyDescent="0.3"/>
  <cols>
    <col min="1" max="1" width="4.6640625" customWidth="1"/>
    <col min="2" max="2" width="54.33203125" customWidth="1"/>
    <col min="3" max="3" width="15.109375" bestFit="1" customWidth="1"/>
    <col min="4" max="5" width="12.44140625" bestFit="1" customWidth="1"/>
    <col min="6" max="6" width="62.33203125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31" t="s">
        <v>177</v>
      </c>
      <c r="G1" s="19"/>
      <c r="H1" s="19"/>
      <c r="I1" s="19"/>
      <c r="J1" s="19"/>
    </row>
    <row r="2" spans="1:10" x14ac:dyDescent="0.3">
      <c r="C2" s="29" t="s">
        <v>23</v>
      </c>
      <c r="D2" s="29"/>
      <c r="E2" s="29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 s="24">
        <f>('Financial Statements'!B42/'Financial Statements'!B56)*100</f>
        <v>87.935602862672255</v>
      </c>
      <c r="D5" s="24">
        <f>('Financial Statements'!C42/'Financial Statements'!C56)*100</f>
        <v>107.45531195957953</v>
      </c>
      <c r="E5" s="24">
        <f>('Financial Statements'!D42/'Financial Statements'!D56)*100</f>
        <v>136.36044481554578</v>
      </c>
    </row>
    <row r="6" spans="1:10" x14ac:dyDescent="0.3">
      <c r="A6" s="18">
        <f t="shared" ref="A6:A15" si="0">+A5+0.1</f>
        <v>1.2000000000000002</v>
      </c>
      <c r="B6" s="1" t="s">
        <v>101</v>
      </c>
      <c r="C6" s="24">
        <f>('Financial Statements'!B42-'Financial Statements'!B39)/'Financial Statements'!B56*100</f>
        <v>84.723539114961483</v>
      </c>
      <c r="D6" s="24">
        <f>('Financial Statements'!C42-'Financial Statements'!C39)/'Financial Statements'!C56*100</f>
        <v>102.21149018576519</v>
      </c>
      <c r="E6" s="24">
        <f>('Financial Statements'!D42-'Financial Statements'!D39)/'Financial Statements'!D56*100</f>
        <v>132.50721117352359</v>
      </c>
      <c r="F6" t="s">
        <v>164</v>
      </c>
    </row>
    <row r="7" spans="1:10" x14ac:dyDescent="0.3">
      <c r="A7" s="18">
        <f t="shared" si="0"/>
        <v>1.3000000000000003</v>
      </c>
      <c r="B7" s="1" t="s">
        <v>102</v>
      </c>
      <c r="C7" s="24">
        <f>('Financial Statements'!B36/'Financial Statements'!B56)*100</f>
        <v>15.356340351469653</v>
      </c>
      <c r="D7" s="24">
        <f>('Financial Statements'!C36/'Financial Statements'!C56)*100</f>
        <v>27.844853005634317</v>
      </c>
      <c r="E7" s="24">
        <f>('Financial Statements'!D36/'Financial Statements'!D56)*100</f>
        <v>36.071049035979961</v>
      </c>
      <c r="F7" t="s">
        <v>165</v>
      </c>
    </row>
    <row r="8" spans="1:10" x14ac:dyDescent="0.3">
      <c r="A8" s="18">
        <f t="shared" si="0"/>
        <v>1.4000000000000004</v>
      </c>
      <c r="B8" s="1" t="s">
        <v>103</v>
      </c>
      <c r="C8" s="24">
        <f>'Financial Statements'!B42/'List of Ratios'!C9</f>
        <v>1636.6799682087624</v>
      </c>
      <c r="D8" s="24">
        <f>'Financial Statements'!C42/'List of Ratios'!D9</f>
        <v>1661.6631777972852</v>
      </c>
      <c r="E8" s="24">
        <f>'Financial Statements'!D42/'List of Ratios'!E9</f>
        <v>2486.6198151220669</v>
      </c>
    </row>
    <row r="9" spans="1:10" x14ac:dyDescent="0.3">
      <c r="A9" s="18"/>
      <c r="B9" s="1" t="s">
        <v>162</v>
      </c>
      <c r="C9" s="24">
        <f>('Financial Statements'!B17-'List of Ratios'!C10)/365</f>
        <v>82.731506849315068</v>
      </c>
      <c r="D9" s="24">
        <f>('Financial Statements'!C17-'List of Ratios'!D10)/365</f>
        <v>81.145205479452059</v>
      </c>
      <c r="E9" s="24">
        <f>('Financial Statements'!D17-'List of Ratios'!E10)/365</f>
        <v>57.794520547945204</v>
      </c>
    </row>
    <row r="10" spans="1:10" x14ac:dyDescent="0.3">
      <c r="A10" s="18"/>
      <c r="B10" s="1" t="s">
        <v>161</v>
      </c>
      <c r="C10">
        <f>SUM('Financial Statements'!B79:B82)</f>
        <v>21148</v>
      </c>
      <c r="D10">
        <f>SUM('Financial Statements'!C79:C82)</f>
        <v>14269</v>
      </c>
      <c r="E10">
        <f>SUM('Financial Statements'!D79:D82)</f>
        <v>17573</v>
      </c>
    </row>
    <row r="11" spans="1:10" x14ac:dyDescent="0.3">
      <c r="A11" s="18">
        <f>+A8+0.1</f>
        <v>1.5000000000000004</v>
      </c>
      <c r="B11" s="1" t="s">
        <v>104</v>
      </c>
      <c r="C11" s="24">
        <f>('Financial Statements'!B39/'Financial Statements'!B12)*365</f>
        <v>8.0756980666171607</v>
      </c>
      <c r="D11" s="24">
        <f>('Financial Statements'!C39/'Financial Statements'!C12)*365</f>
        <v>11.27659274770989</v>
      </c>
      <c r="E11" s="24">
        <f>('Financial Statements'!D39/'Financial Statements'!D12)*365</f>
        <v>8.7418833562358831</v>
      </c>
    </row>
    <row r="12" spans="1:10" x14ac:dyDescent="0.3">
      <c r="A12" s="18">
        <f t="shared" si="0"/>
        <v>1.6000000000000005</v>
      </c>
      <c r="B12" s="1" t="s">
        <v>105</v>
      </c>
      <c r="C12" s="24">
        <f>('Financial Statements'!B51/'Financial Statements'!B12)*365</f>
        <v>104.68527730310539</v>
      </c>
      <c r="D12" s="24">
        <f>('Financial Statements'!C51/'Financial Statements'!C12)*365</f>
        <v>93.851071222315596</v>
      </c>
      <c r="E12" s="24">
        <f>('Financial Statements'!D51/'Financial Statements'!D12)*365</f>
        <v>91.048189715674198</v>
      </c>
    </row>
    <row r="13" spans="1:10" x14ac:dyDescent="0.3">
      <c r="A13" s="18">
        <f t="shared" si="0"/>
        <v>1.7000000000000006</v>
      </c>
      <c r="B13" s="1" t="s">
        <v>106</v>
      </c>
      <c r="C13" s="24">
        <f>('Financial Statements'!B38/'Financial Statements'!B8)*365</f>
        <v>26.087825363656648</v>
      </c>
      <c r="D13" s="24">
        <f>('Financial Statements'!C38/'Financial Statements'!C8)*365</f>
        <v>26.219311841713207</v>
      </c>
      <c r="E13" s="24">
        <f>('Financial Statements'!D38/'Financial Statements'!D8)*365</f>
        <v>21.433437152796749</v>
      </c>
    </row>
    <row r="14" spans="1:10" x14ac:dyDescent="0.3">
      <c r="A14" s="18">
        <f t="shared" si="0"/>
        <v>1.8000000000000007</v>
      </c>
      <c r="B14" s="1" t="s">
        <v>107</v>
      </c>
      <c r="C14" s="24">
        <f>C11+C13-C12</f>
        <v>-70.521753872831582</v>
      </c>
      <c r="D14" s="24">
        <f>D11+D13-D12</f>
        <v>-56.355166632892498</v>
      </c>
      <c r="E14" s="24">
        <f>E11+E13-E12</f>
        <v>-60.872869206641568</v>
      </c>
    </row>
    <row r="15" spans="1:10" x14ac:dyDescent="0.3">
      <c r="A15" s="18">
        <f t="shared" si="0"/>
        <v>1.9000000000000008</v>
      </c>
      <c r="B15" s="1" t="s">
        <v>108</v>
      </c>
      <c r="C15" s="24">
        <f>(C16/'Financial Statements'!B8)*100</f>
        <v>-7.8576717859244081</v>
      </c>
      <c r="D15" s="24">
        <f>(D16/'Financial Statements'!C8)*100</f>
        <v>-5.9879666609260918</v>
      </c>
      <c r="E15" s="24">
        <f>(E16/'Financial Statements'!D8)*100</f>
        <v>-8.0560260823634398</v>
      </c>
    </row>
    <row r="16" spans="1:10" x14ac:dyDescent="0.3">
      <c r="A16" s="18"/>
      <c r="B16" s="3" t="s">
        <v>109</v>
      </c>
      <c r="C16" s="25">
        <f>'Financial Statements'!B39+'Financial Statements'!B38-'Financial Statements'!B51</f>
        <v>-30985</v>
      </c>
      <c r="D16" s="25">
        <f>'Financial Statements'!C39+'Financial Statements'!C38-'Financial Statements'!C51</f>
        <v>-21905</v>
      </c>
      <c r="E16" s="25">
        <f>'Financial Statements'!D39+'Financial Statements'!D38-'Financial Statements'!D51</f>
        <v>-22115</v>
      </c>
    </row>
    <row r="17" spans="1:6" x14ac:dyDescent="0.3">
      <c r="A17" s="18"/>
    </row>
    <row r="18" spans="1:6" x14ac:dyDescent="0.3">
      <c r="A18" s="18">
        <f>+A4+1</f>
        <v>2</v>
      </c>
      <c r="B18" s="17" t="s">
        <v>110</v>
      </c>
    </row>
    <row r="19" spans="1:6" x14ac:dyDescent="0.3">
      <c r="A19" s="18">
        <f>+A18+0.1</f>
        <v>2.1</v>
      </c>
      <c r="B19" s="1" t="s">
        <v>9</v>
      </c>
      <c r="C19" s="24">
        <f>('Financial Statements'!B13/'Financial Statements'!B8)*100</f>
        <v>43.309630561360088</v>
      </c>
      <c r="D19" s="24">
        <f>('Financial Statements'!C13/'Financial Statements'!C8)*100</f>
        <v>41.779359625167778</v>
      </c>
      <c r="E19" s="24">
        <f>('Financial Statements'!D13/'Financial Statements'!D8)*100</f>
        <v>38.233247727810863</v>
      </c>
    </row>
    <row r="20" spans="1:6" x14ac:dyDescent="0.3">
      <c r="A20" s="18">
        <f>+A19+0.1</f>
        <v>2.2000000000000002</v>
      </c>
      <c r="B20" s="1" t="s">
        <v>111</v>
      </c>
      <c r="C20" s="24">
        <f>(C21/'Financial Statements'!B8)*100</f>
        <v>32.935272159217703</v>
      </c>
      <c r="D20" s="24">
        <f>(D21/'Financial Statements'!C8)*100</f>
        <v>33.008034071680648</v>
      </c>
      <c r="E20" s="24">
        <f>(E21/'Financial Statements'!D8)*100</f>
        <v>28.75981276068703</v>
      </c>
    </row>
    <row r="21" spans="1:6" x14ac:dyDescent="0.3">
      <c r="A21" s="18"/>
      <c r="B21" s="3" t="s">
        <v>112</v>
      </c>
      <c r="C21">
        <f>'Financial Statements'!B22+'Financial Statements'!B21+'Financial Statements'!B79+'Financial Statements'!B19</f>
        <v>129873</v>
      </c>
      <c r="D21">
        <f>'Financial Statements'!C22+'Financial Statements'!C21+'Financial Statements'!C19+'Financial Statements'!C79</f>
        <v>120749</v>
      </c>
      <c r="E21">
        <f>'Financial Statements'!D22+'Financial Statements'!D21+'Financial Statements'!D19+'Financial Statements'!D79</f>
        <v>78950</v>
      </c>
    </row>
    <row r="22" spans="1:6" x14ac:dyDescent="0.3">
      <c r="A22" s="18">
        <f>+A20+0.1</f>
        <v>2.3000000000000003</v>
      </c>
      <c r="B22" s="1" t="s">
        <v>113</v>
      </c>
      <c r="C22" s="24">
        <f>('Financial Statements'!B18/'Financial Statements'!B8)*100</f>
        <v>30.288744395528592</v>
      </c>
      <c r="D22" s="24">
        <f>('Financial Statements'!C18/'Financial Statements'!C8)*100</f>
        <v>29.782377527561593</v>
      </c>
      <c r="E22" s="24">
        <f>('Financial Statements'!D18/'Financial Statements'!D8)*100</f>
        <v>24.147314354406863</v>
      </c>
    </row>
    <row r="23" spans="1:6" x14ac:dyDescent="0.3">
      <c r="A23" s="18"/>
      <c r="B23" s="3" t="s">
        <v>114</v>
      </c>
      <c r="C23">
        <f>'Financial Statements'!B18</f>
        <v>119437</v>
      </c>
      <c r="D23">
        <f>'Financial Statements'!C18</f>
        <v>108949</v>
      </c>
      <c r="E23">
        <f>'Financial Statements'!D18</f>
        <v>66288</v>
      </c>
    </row>
    <row r="24" spans="1:6" x14ac:dyDescent="0.3">
      <c r="A24" s="18">
        <f>+A22+0.1</f>
        <v>2.4000000000000004</v>
      </c>
      <c r="B24" s="1" t="s">
        <v>115</v>
      </c>
      <c r="C24" s="24">
        <f>('Financial Statements'!B22/'Financial Statements'!B8)*100</f>
        <v>25.309640705199733</v>
      </c>
      <c r="D24" s="24">
        <f>('Financial Statements'!C22/'Financial Statements'!C8)*100</f>
        <v>25.881793355694239</v>
      </c>
      <c r="E24" s="24">
        <f>('Financial Statements'!D22/'Financial Statements'!D8)*100</f>
        <v>20.913611278072235</v>
      </c>
    </row>
    <row r="25" spans="1:6" x14ac:dyDescent="0.3">
      <c r="A25" s="18"/>
    </row>
    <row r="26" spans="1:6" x14ac:dyDescent="0.3">
      <c r="A26" s="18">
        <f>+A18+1</f>
        <v>3</v>
      </c>
      <c r="B26" s="7" t="s">
        <v>116</v>
      </c>
    </row>
    <row r="27" spans="1:6" x14ac:dyDescent="0.3">
      <c r="A27" s="18">
        <f>+A26+0.1</f>
        <v>3.1</v>
      </c>
      <c r="B27" s="1" t="s">
        <v>117</v>
      </c>
      <c r="C27" s="24">
        <f>'Financial Statements'!B62/'Financial Statements'!B68</f>
        <v>5.9615369434796337</v>
      </c>
      <c r="D27" s="24">
        <f>'Financial Statements'!C62/'Financial Statements'!C68</f>
        <v>4.5635124425423994</v>
      </c>
      <c r="E27" s="24">
        <f>'Financial Statements'!D62/'Financial Statements'!D68</f>
        <v>3.9570394404566951</v>
      </c>
      <c r="F27" t="s">
        <v>166</v>
      </c>
    </row>
    <row r="28" spans="1:6" x14ac:dyDescent="0.3">
      <c r="A28" s="18">
        <f t="shared" ref="A28:A32" si="1">+A27+0.1</f>
        <v>3.2</v>
      </c>
      <c r="B28" s="1" t="s">
        <v>118</v>
      </c>
      <c r="C28" s="24">
        <f>'Financial Statements'!B62/'Financial Statements'!B48</f>
        <v>0.85635355983614692</v>
      </c>
      <c r="D28" s="24">
        <f>'Financial Statements'!C62/'Financial Statements'!C48</f>
        <v>0.82025743443057308</v>
      </c>
      <c r="E28" s="24">
        <f>'Financial Statements'!D62/'Financial Statements'!D48</f>
        <v>0.79826668477992391</v>
      </c>
      <c r="F28" t="s">
        <v>167</v>
      </c>
    </row>
    <row r="29" spans="1:6" x14ac:dyDescent="0.3">
      <c r="A29" s="18">
        <f t="shared" si="1"/>
        <v>3.3000000000000003</v>
      </c>
      <c r="B29" s="1" t="s">
        <v>119</v>
      </c>
      <c r="C29" s="24">
        <f>'Financial Statements'!B61/'Financial Statements'!B65</f>
        <v>2.2837823250936791</v>
      </c>
      <c r="D29" s="24">
        <f>'Financial Statements'!C61/'Financial Statements'!C65</f>
        <v>2.8315349080449752</v>
      </c>
      <c r="E29" s="24">
        <f>'Financial Statements'!D61/'Financial Statements'!D65</f>
        <v>3.0161484078063765</v>
      </c>
      <c r="F29" t="s">
        <v>168</v>
      </c>
    </row>
    <row r="30" spans="1:6" x14ac:dyDescent="0.3">
      <c r="A30" s="18">
        <f t="shared" si="1"/>
        <v>3.4000000000000004</v>
      </c>
      <c r="B30" s="1" t="s">
        <v>120</v>
      </c>
      <c r="C30" s="24">
        <f>'Financial Statements'!B18/'Financial Statements'!B19</f>
        <v>-357.59580838323353</v>
      </c>
      <c r="F30" t="s">
        <v>170</v>
      </c>
    </row>
    <row r="31" spans="1:6" x14ac:dyDescent="0.3">
      <c r="A31" s="18">
        <f t="shared" si="1"/>
        <v>3.5000000000000004</v>
      </c>
      <c r="B31" s="1" t="s">
        <v>121</v>
      </c>
      <c r="C31">
        <f>C21/'Financial Statements'!B62</f>
        <v>0.42992488819298008</v>
      </c>
      <c r="D31">
        <f>D21/'Financial Statements'!C62</f>
        <v>0.41939550973908696</v>
      </c>
      <c r="E31">
        <f>E21/'Financial Statements'!D62</f>
        <v>0.30535797856499153</v>
      </c>
      <c r="F31" t="s">
        <v>169</v>
      </c>
    </row>
    <row r="32" spans="1:6" x14ac:dyDescent="0.3">
      <c r="A32" s="18">
        <f t="shared" si="1"/>
        <v>3.6000000000000005</v>
      </c>
      <c r="B32" s="1" t="s">
        <v>122</v>
      </c>
      <c r="C32">
        <f>C33/C59</f>
        <v>2.2790813684835244E-2</v>
      </c>
      <c r="D32">
        <f>D33/C59</f>
        <v>1.8944324967518307E-2</v>
      </c>
    </row>
    <row r="33" spans="1:6" x14ac:dyDescent="0.3">
      <c r="A33" s="18"/>
      <c r="B33" s="3" t="s">
        <v>123</v>
      </c>
      <c r="C33">
        <f>'Financial Statements'!B91-'List of Ratios'!C98</f>
        <v>108370</v>
      </c>
      <c r="D33">
        <f>'Financial Statements'!C91-'List of Ratios'!D98</f>
        <v>90080</v>
      </c>
      <c r="F33" t="s">
        <v>171</v>
      </c>
    </row>
    <row r="34" spans="1:6" x14ac:dyDescent="0.3">
      <c r="A34" s="18"/>
    </row>
    <row r="35" spans="1:6" x14ac:dyDescent="0.3">
      <c r="A35" s="18">
        <f>+A26+1</f>
        <v>4</v>
      </c>
      <c r="B35" s="17" t="s">
        <v>124</v>
      </c>
    </row>
    <row r="36" spans="1:6" x14ac:dyDescent="0.3">
      <c r="A36" s="18">
        <f>+A35+0.1</f>
        <v>4.0999999999999996</v>
      </c>
      <c r="B36" s="1" t="s">
        <v>125</v>
      </c>
      <c r="C36" s="24">
        <f>'Financial Statements'!B8/'List of Ratios'!C37</f>
        <v>1.1206368107173357</v>
      </c>
      <c r="D36" s="24">
        <f>'Financial Statements'!C8/'List of Ratios'!D37</f>
        <v>1.084078886929722</v>
      </c>
      <c r="E36" s="24">
        <f>'Financial Statements'!D8/'List of Ratios'!E37</f>
        <v>0.84756150274168851</v>
      </c>
    </row>
    <row r="37" spans="1:6" x14ac:dyDescent="0.3">
      <c r="A37" s="18"/>
      <c r="B37" s="1" t="s">
        <v>150</v>
      </c>
      <c r="C37">
        <f>('Financial Statements'!B48+'Financial Statements'!C48)/2</f>
        <v>351878.5</v>
      </c>
      <c r="D37">
        <f>('Financial Statements'!C48+'Financial Statements'!D48)/2</f>
        <v>337445</v>
      </c>
      <c r="E37">
        <f>'Financial Statements'!D48</f>
        <v>323888</v>
      </c>
    </row>
    <row r="38" spans="1:6" x14ac:dyDescent="0.3">
      <c r="A38" s="18">
        <f>+A36+0.1</f>
        <v>4.1999999999999993</v>
      </c>
      <c r="B38" s="1" t="s">
        <v>126</v>
      </c>
      <c r="C38" s="24">
        <f>'Financial Statements'!B8/'List of Ratios'!C39</f>
        <v>1.8192085182553817</v>
      </c>
      <c r="D38" s="24">
        <f>'Financial Statements'!C8/'List of Ratios'!D39</f>
        <v>1.8459710199045771</v>
      </c>
      <c r="E38" s="24">
        <f>'Financial Statements'!D8/'List of Ratios'!E39</f>
        <v>1.5236020535590398</v>
      </c>
    </row>
    <row r="39" spans="1:6" x14ac:dyDescent="0.3">
      <c r="A39" s="18"/>
      <c r="B39" s="1" t="s">
        <v>151</v>
      </c>
      <c r="C39">
        <f>('Financial Statements'!B47+'Financial Statements'!C47)/2</f>
        <v>216758</v>
      </c>
      <c r="D39">
        <f>('Financial Statements'!C47+'Financial Statements'!D47)/2</f>
        <v>198170.5</v>
      </c>
      <c r="E39">
        <f>'Financial Statements'!D47</f>
        <v>180175</v>
      </c>
    </row>
    <row r="40" spans="1:6" x14ac:dyDescent="0.3">
      <c r="A40" s="18">
        <f>+A38+0.1</f>
        <v>4.2999999999999989</v>
      </c>
      <c r="B40" s="1" t="s">
        <v>127</v>
      </c>
      <c r="C40" s="24">
        <f>'Financial Statements'!B8/'List of Ratios'!C41</f>
        <v>68.42408467811903</v>
      </c>
      <c r="D40" s="24">
        <f>'Financial Statements'!C8/'List of Ratios'!D41</f>
        <v>68.756131942486604</v>
      </c>
      <c r="E40" s="24">
        <f>'Financial Statements'!D8/'List of Ratios'!E41</f>
        <v>67.597882295001227</v>
      </c>
    </row>
    <row r="41" spans="1:6" x14ac:dyDescent="0.3">
      <c r="A41" s="18"/>
      <c r="B41" s="1" t="s">
        <v>152</v>
      </c>
      <c r="C41">
        <f>('Financial Statements'!B39+'Financial Statements'!C39)/2</f>
        <v>5763</v>
      </c>
      <c r="D41">
        <f>('Financial Statements'!C39+'Financial Statements'!D39)/2</f>
        <v>5320.5</v>
      </c>
      <c r="E41">
        <f>'Financial Statements'!D39</f>
        <v>4061</v>
      </c>
    </row>
    <row r="42" spans="1:6" x14ac:dyDescent="0.3">
      <c r="A42" s="18">
        <f t="shared" ref="A42" si="2">+A40+0.1</f>
        <v>4.3999999999999986</v>
      </c>
      <c r="B42" s="1" t="s">
        <v>128</v>
      </c>
      <c r="C42" s="24">
        <f>'Financial Statements'!B22/'List of Ratios'!C37</f>
        <v>0.28362915040276687</v>
      </c>
      <c r="D42" s="24">
        <f>'Financial Statements'!C22/'List of Ratios'!D37</f>
        <v>0.28057905732786081</v>
      </c>
      <c r="E42" s="24">
        <f>'Financial Statements'!D22/'List of Ratios'!E37</f>
        <v>0.1772557180259843</v>
      </c>
    </row>
    <row r="43" spans="1:6" x14ac:dyDescent="0.3">
      <c r="A43" s="18"/>
    </row>
    <row r="44" spans="1:6" x14ac:dyDescent="0.3">
      <c r="A44" s="18">
        <f>+A35+1</f>
        <v>5</v>
      </c>
      <c r="B44" s="17" t="s">
        <v>129</v>
      </c>
    </row>
    <row r="45" spans="1:6" x14ac:dyDescent="0.3">
      <c r="A45" s="18">
        <f>+A44+0.1</f>
        <v>5.0999999999999996</v>
      </c>
      <c r="B45" s="1" t="s">
        <v>130</v>
      </c>
      <c r="C45">
        <f>C46/C47</f>
        <v>22.618657937806869</v>
      </c>
      <c r="D45">
        <f>D46/D47</f>
        <v>26.188948306595361</v>
      </c>
      <c r="E45">
        <f>E46/E47</f>
        <v>34.231707317073173</v>
      </c>
    </row>
    <row r="46" spans="1:6" x14ac:dyDescent="0.3">
      <c r="A46" s="18"/>
      <c r="B46" s="1" t="s">
        <v>153</v>
      </c>
      <c r="C46">
        <v>138.19999999999999</v>
      </c>
      <c r="D46">
        <v>146.91999999999999</v>
      </c>
      <c r="E46">
        <v>112.28</v>
      </c>
    </row>
    <row r="47" spans="1:6" x14ac:dyDescent="0.3">
      <c r="A47" s="18">
        <f>+A45+0.1</f>
        <v>5.1999999999999993</v>
      </c>
      <c r="B47" s="3" t="s">
        <v>131</v>
      </c>
      <c r="C47">
        <f>'Financial Statements'!B25</f>
        <v>6.11</v>
      </c>
      <c r="D47">
        <f>'Financial Statements'!C25</f>
        <v>5.61</v>
      </c>
      <c r="E47">
        <f>'Financial Statements'!D25</f>
        <v>3.28</v>
      </c>
    </row>
    <row r="48" spans="1:6" x14ac:dyDescent="0.3">
      <c r="A48" s="18">
        <f t="shared" ref="A48:A51" si="3">+A47+0.1</f>
        <v>5.2999999999999989</v>
      </c>
      <c r="B48" s="1" t="s">
        <v>132</v>
      </c>
      <c r="C48">
        <f>C46/C49</f>
        <v>2.7273444900536782E-3</v>
      </c>
      <c r="D48">
        <f>D46/D49</f>
        <v>2.3287367253130445E-3</v>
      </c>
      <c r="E48">
        <f>E46/E49</f>
        <v>1.7184223817321967E-3</v>
      </c>
      <c r="F48" t="s">
        <v>172</v>
      </c>
    </row>
    <row r="49" spans="1:6" x14ac:dyDescent="0.3">
      <c r="A49" s="18"/>
      <c r="B49" s="1" t="s">
        <v>154</v>
      </c>
      <c r="C49">
        <f>'Financial Statements'!B68</f>
        <v>50672</v>
      </c>
      <c r="D49">
        <f>'Financial Statements'!C68</f>
        <v>63090</v>
      </c>
      <c r="E49">
        <f>'Financial Statements'!D68</f>
        <v>65339</v>
      </c>
    </row>
    <row r="50" spans="1:6" x14ac:dyDescent="0.3">
      <c r="A50" s="18">
        <f>+A48+0.1</f>
        <v>5.3999999999999986</v>
      </c>
      <c r="B50" s="3" t="s">
        <v>133</v>
      </c>
      <c r="C50">
        <f>('Financial Statements'!B48-'Financial Statements'!B62)/'Financial Statements'!B28</f>
        <v>3.103795282797145E-3</v>
      </c>
      <c r="D50">
        <f>('Financial Statements'!C48-'Financial Statements'!C62)/'Financial Statements'!C28</f>
        <v>3.7409014534845971E-3</v>
      </c>
      <c r="E50">
        <f>('Financial Statements'!D48-'Financial Statements'!D62)/'Financial Statements'!D28</f>
        <v>3.7276473233382478E-3</v>
      </c>
    </row>
    <row r="51" spans="1:6" x14ac:dyDescent="0.3">
      <c r="A51" s="18">
        <f t="shared" si="3"/>
        <v>5.4999999999999982</v>
      </c>
      <c r="B51" s="1" t="s">
        <v>134</v>
      </c>
      <c r="C51">
        <f>C52/C47</f>
        <v>1.4878083013397295E-4</v>
      </c>
      <c r="D51">
        <f>D52/D47</f>
        <v>1.5290840583271576E-4</v>
      </c>
      <c r="E51">
        <f>E52/E47</f>
        <v>2.4491872388584764E-4</v>
      </c>
      <c r="F51" t="s">
        <v>172</v>
      </c>
    </row>
    <row r="52" spans="1:6" x14ac:dyDescent="0.3">
      <c r="A52" s="18"/>
      <c r="B52" s="3" t="s">
        <v>135</v>
      </c>
      <c r="C52">
        <f>14841/'Financial Statements'!B28</f>
        <v>9.0905087211857485E-4</v>
      </c>
      <c r="D52">
        <f>14467/'Financial Statements'!C28</f>
        <v>8.5781615672153545E-4</v>
      </c>
      <c r="E52">
        <f>14081/'Financial Statements'!D28</f>
        <v>8.0333341434558024E-4</v>
      </c>
    </row>
    <row r="53" spans="1:6" x14ac:dyDescent="0.3">
      <c r="A53" s="18">
        <f>+A51+0.1</f>
        <v>5.5999999999999979</v>
      </c>
      <c r="B53" s="1" t="s">
        <v>136</v>
      </c>
      <c r="C53">
        <f>(C52/C46)*100</f>
        <v>6.5777921282096597E-4</v>
      </c>
      <c r="D53">
        <f>(D52/D46)*100</f>
        <v>5.8386615622211787E-4</v>
      </c>
      <c r="E53">
        <f>(E52/E46)*100</f>
        <v>7.1547329385961904E-4</v>
      </c>
    </row>
    <row r="54" spans="1:6" x14ac:dyDescent="0.3">
      <c r="A54" s="18">
        <f t="shared" ref="A54:A57" si="4">+A52+0.1</f>
        <v>0.1</v>
      </c>
      <c r="B54" s="1" t="s">
        <v>137</v>
      </c>
      <c r="C54">
        <f>'Financial Statements'!B22/'Financial Statements'!B68</f>
        <v>1.9695887275023682</v>
      </c>
      <c r="D54">
        <f>'Financial Statements'!C22/'Financial Statements'!C68</f>
        <v>1.5007132667617689</v>
      </c>
      <c r="E54">
        <f>'Financial Statements'!D22/'Financial Statements'!D68</f>
        <v>0.87866358530127486</v>
      </c>
    </row>
    <row r="55" spans="1:6" x14ac:dyDescent="0.3">
      <c r="A55" s="18">
        <f t="shared" si="4"/>
        <v>5.6999999999999975</v>
      </c>
      <c r="B55" s="1" t="s">
        <v>138</v>
      </c>
      <c r="C55">
        <f>C23/('Financial Statements'!B48-'Financial Statements'!B56)*100</f>
        <v>60.087134570590571</v>
      </c>
      <c r="D55">
        <f>D23/('Financial Statements'!C48-'Financial Statements'!C56)*100</f>
        <v>48.309913489209436</v>
      </c>
      <c r="E55">
        <f>E23/('Financial Statements'!D48-'Financial Statements'!D56)*100</f>
        <v>30.338312829525481</v>
      </c>
      <c r="F55" t="s">
        <v>173</v>
      </c>
    </row>
    <row r="56" spans="1:6" x14ac:dyDescent="0.3">
      <c r="A56" s="18">
        <f t="shared" si="4"/>
        <v>0.2</v>
      </c>
      <c r="B56" s="1" t="s">
        <v>128</v>
      </c>
      <c r="C56">
        <f>('Financial Statements'!B22/'List of Ratios'!C37)*100</f>
        <v>28.362915040276686</v>
      </c>
      <c r="D56">
        <f>('Financial Statements'!C22/'List of Ratios'!D37)*100</f>
        <v>28.057905732786082</v>
      </c>
      <c r="E56">
        <f>('Financial Statements'!D22/'List of Ratios'!E37)*100</f>
        <v>17.725571802598431</v>
      </c>
    </row>
    <row r="57" spans="1:6" x14ac:dyDescent="0.3">
      <c r="A57" s="18">
        <f t="shared" si="4"/>
        <v>5.7999999999999972</v>
      </c>
      <c r="B57" s="1" t="s">
        <v>139</v>
      </c>
      <c r="C57">
        <f>C58/C21</f>
        <v>5059.8589791565601</v>
      </c>
      <c r="D57">
        <f>D58/D21</f>
        <v>5785.2786699682802</v>
      </c>
      <c r="E57">
        <f>E58/E21</f>
        <v>6761.8750991766938</v>
      </c>
    </row>
    <row r="58" spans="1:6" x14ac:dyDescent="0.3">
      <c r="A58" s="18"/>
      <c r="B58" s="3" t="s">
        <v>140</v>
      </c>
      <c r="C58">
        <f>(C46*C59)+'List of Ratios'!B64-'List of Ratios'!B127</f>
        <v>657139065.19999993</v>
      </c>
      <c r="D58">
        <f>(D46*C59)+'List of Ratios'!C64-'Financial Statements'!C110</f>
        <v>698566614.11999989</v>
      </c>
      <c r="E58">
        <f>(E46*C59)+'List of Ratios'!D64-'Financial Statements'!D110</f>
        <v>533850039.07999998</v>
      </c>
      <c r="F58" t="s">
        <v>174</v>
      </c>
    </row>
    <row r="59" spans="1:6" x14ac:dyDescent="0.3">
      <c r="B59" s="1" t="s">
        <v>163</v>
      </c>
      <c r="C59" s="2">
        <v>4754986</v>
      </c>
    </row>
    <row r="66" spans="2:6" x14ac:dyDescent="0.3">
      <c r="B66" s="17" t="s">
        <v>155</v>
      </c>
    </row>
    <row r="67" spans="2:6" x14ac:dyDescent="0.3">
      <c r="B67" s="1" t="s">
        <v>145</v>
      </c>
      <c r="C67" s="24">
        <f>('Financial Statements'!B8-'Financial Statements'!C8)/'Financial Statements'!C8*100</f>
        <v>7.7937876041846055</v>
      </c>
      <c r="D67" s="24">
        <f>('Financial Statements'!C8-'Financial Statements'!D8)/'Financial Statements'!D8*100</f>
        <v>33.25938473307469</v>
      </c>
      <c r="F67" t="s">
        <v>175</v>
      </c>
    </row>
    <row r="68" spans="2:6" x14ac:dyDescent="0.3">
      <c r="B68" s="1" t="s">
        <v>89</v>
      </c>
      <c r="C68" s="24">
        <f>('Financial Statements'!B13-'Financial Statements'!C13)/'Financial Statements'!C13*100</f>
        <v>11.741997958596142</v>
      </c>
      <c r="D68" s="24">
        <f>('Financial Statements'!C13-'Financial Statements'!D13)/'Financial Statements'!D13*100</f>
        <v>45.61911658218682</v>
      </c>
    </row>
    <row r="69" spans="2:6" x14ac:dyDescent="0.3">
      <c r="B69" s="1" t="s">
        <v>158</v>
      </c>
    </row>
    <row r="70" spans="2:6" x14ac:dyDescent="0.3">
      <c r="B70" s="1" t="s">
        <v>11</v>
      </c>
      <c r="C70" s="24">
        <f>('Financial Statements'!B15-'Financial Statements'!C15)/'Financial Statements'!C15*100</f>
        <v>19.791001186456146</v>
      </c>
      <c r="D70" s="24">
        <f>('Financial Statements'!C15-'Financial Statements'!D15)/'Financial Statements'!D15*100</f>
        <v>16.862201365187712</v>
      </c>
    </row>
    <row r="71" spans="2:6" x14ac:dyDescent="0.3">
      <c r="B71" s="1" t="s">
        <v>12</v>
      </c>
      <c r="C71" s="24">
        <f>('Financial Statements'!B16-'Financial Statements'!C16)/'Financial Statements'!C16*100</f>
        <v>14.203795567287125</v>
      </c>
      <c r="D71" s="24">
        <f>('Financial Statements'!C16-'Financial Statements'!D16)/'Financial Statements'!D16*100</f>
        <v>10.328379192608958</v>
      </c>
    </row>
    <row r="72" spans="2:6" x14ac:dyDescent="0.3">
      <c r="B72" s="1"/>
    </row>
    <row r="73" spans="2:6" x14ac:dyDescent="0.3">
      <c r="B73" s="1" t="s">
        <v>159</v>
      </c>
    </row>
    <row r="74" spans="2:6" x14ac:dyDescent="0.3">
      <c r="B74" s="26" t="s">
        <v>31</v>
      </c>
      <c r="C74">
        <f>('Financial Statements'!B42-'Financial Statements'!C42)/'Financial Statements'!C42*100</f>
        <v>0.42199412619775128</v>
      </c>
      <c r="D74">
        <f>('Financial Statements'!C42-'Financial Statements'!D42)/'Financial Statements'!D42*100</f>
        <v>-6.1768942266879128</v>
      </c>
    </row>
    <row r="75" spans="2:6" x14ac:dyDescent="0.3">
      <c r="B75" s="26" t="s">
        <v>50</v>
      </c>
      <c r="C75">
        <f>('Financial Statements'!B47-'Financial Statements'!C47)/'Financial Statements'!C47*100</f>
        <v>0.54772720964443988</v>
      </c>
      <c r="D75">
        <f>('Financial Statements'!C47-'Financial Statements'!D47)/'Financial Statements'!D47*100</f>
        <v>19.975579297904815</v>
      </c>
    </row>
    <row r="76" spans="2:6" ht="15" thickBot="1" x14ac:dyDescent="0.35">
      <c r="B76" s="27" t="s">
        <v>33</v>
      </c>
      <c r="C76">
        <f>('Financial Statements'!B48-'Financial Statements'!C48)/'Financial Statements'!C48*100</f>
        <v>0.49942735369029234</v>
      </c>
      <c r="D76">
        <f>('Financial Statements'!C48-'Financial Statements'!D48)/'Financial Statements'!D48*100</f>
        <v>8.3714123400681704</v>
      </c>
    </row>
    <row r="77" spans="2:6" ht="15" thickTop="1" x14ac:dyDescent="0.3">
      <c r="B77" s="26" t="s">
        <v>40</v>
      </c>
      <c r="C77">
        <f>('Financial Statements'!B56-'Financial Statements'!C56)/'Financial Statements'!C56*100</f>
        <v>22.713398841258837</v>
      </c>
      <c r="D77">
        <f>('Financial Statements'!C56-'Financial Statements'!D56)/'Financial Statements'!D56*100</f>
        <v>19.061219067860939</v>
      </c>
    </row>
    <row r="78" spans="2:6" x14ac:dyDescent="0.3">
      <c r="B78" s="28" t="s">
        <v>53</v>
      </c>
      <c r="C78">
        <f>('Financial Statements'!B61-'Financial Statements'!C61)/'Financial Statements'!C61*100</f>
        <v>-8.8222075835277742</v>
      </c>
      <c r="D78">
        <f>('Financial Statements'!C61-'Financial Statements'!D61)/'Financial Statements'!D61*100</f>
        <v>6.0552243775994565</v>
      </c>
    </row>
    <row r="79" spans="2:6" x14ac:dyDescent="0.3">
      <c r="B79" s="26" t="s">
        <v>41</v>
      </c>
      <c r="C79">
        <f>('Financial Statements'!B62-'Financial Statements'!C62)/'Financial Statements'!C62*100</f>
        <v>4.9219900525160467</v>
      </c>
      <c r="D79">
        <f>('Financial Statements'!C62-'Financial Statements'!D62)/'Financial Statements'!D62*100</f>
        <v>11.356841449783213</v>
      </c>
    </row>
    <row r="80" spans="2:6" x14ac:dyDescent="0.3">
      <c r="B80" s="26" t="s">
        <v>45</v>
      </c>
      <c r="C80">
        <f>('Financial Statements'!B68-'Financial Statements'!C68)/'Financial Statements'!C68*100</f>
        <v>-19.682992550324933</v>
      </c>
      <c r="D80">
        <f>('Financial Statements'!C68-'Financial Statements'!D68)/'Financial Statements'!D68*100</f>
        <v>-3.4420483937617661</v>
      </c>
    </row>
    <row r="81" spans="2:5" ht="15" thickBot="1" x14ac:dyDescent="0.35">
      <c r="B81" s="27" t="s">
        <v>46</v>
      </c>
      <c r="C81">
        <f>('Financial Statements'!B69-'Financial Statements'!C69)/'Financial Statements'!C69*100</f>
        <v>0.49942735369029234</v>
      </c>
      <c r="D81">
        <f>('Financial Statements'!C69-'Financial Statements'!D69)/'Financial Statements'!D69*100</f>
        <v>8.3714123400681704</v>
      </c>
    </row>
    <row r="82" spans="2:5" ht="15" thickTop="1" x14ac:dyDescent="0.3">
      <c r="B82" s="21"/>
    </row>
    <row r="83" spans="2:5" x14ac:dyDescent="0.3">
      <c r="B83" s="21"/>
    </row>
    <row r="84" spans="2:5" x14ac:dyDescent="0.3">
      <c r="B84" s="17" t="s">
        <v>156</v>
      </c>
    </row>
    <row r="85" spans="2:5" x14ac:dyDescent="0.3">
      <c r="B85" s="1" t="s">
        <v>146</v>
      </c>
      <c r="C85" s="24">
        <f>('Financial Statements'!B12/'Financial Statements'!B8)*100</f>
        <v>56.690369438639912</v>
      </c>
      <c r="D85" s="24">
        <f>('Financial Statements'!C12/'Financial Statements'!C8)*100</f>
        <v>58.220640374832222</v>
      </c>
      <c r="E85" s="24">
        <f>('Financial Statements'!D12/'Financial Statements'!D8)*100</f>
        <v>61.76675227218913</v>
      </c>
    </row>
    <row r="86" spans="2:5" x14ac:dyDescent="0.3">
      <c r="B86" s="1" t="s">
        <v>89</v>
      </c>
      <c r="C86" s="24">
        <f>C19</f>
        <v>43.309630561360088</v>
      </c>
      <c r="D86" s="24">
        <f>D19</f>
        <v>41.779359625167778</v>
      </c>
      <c r="E86" s="24">
        <f>E19</f>
        <v>38.233247727810863</v>
      </c>
    </row>
    <row r="87" spans="2:5" x14ac:dyDescent="0.3">
      <c r="B87" s="1" t="s">
        <v>158</v>
      </c>
    </row>
    <row r="88" spans="2:5" x14ac:dyDescent="0.3">
      <c r="B88" s="1" t="s">
        <v>11</v>
      </c>
      <c r="C88" s="24">
        <f>('Financial Statements'!B15/'Financial Statements'!B8)*100</f>
        <v>6.6571483637986653</v>
      </c>
      <c r="D88" s="24">
        <f>('Financial Statements'!C15/'Financial Statements'!C8)*100</f>
        <v>5.9904269074427923</v>
      </c>
      <c r="E88" s="24">
        <f>('Financial Statements'!D15/'Financial Statements'!D8)*100</f>
        <v>6.8309564140393064</v>
      </c>
    </row>
    <row r="89" spans="2:5" x14ac:dyDescent="0.3">
      <c r="B89" s="1" t="s">
        <v>12</v>
      </c>
      <c r="C89" s="24">
        <f>('Financial Statements'!B16/'Financial Statements'!B8)*100</f>
        <v>6.3637378020328264</v>
      </c>
      <c r="D89" s="24">
        <f>('Financial Statements'!C16/'Financial Statements'!C8)*100</f>
        <v>6.0065551901633878</v>
      </c>
      <c r="E89" s="24">
        <f>('Financial Statements'!D16/'Financial Statements'!D8)*100</f>
        <v>7.254976959364698</v>
      </c>
    </row>
    <row r="90" spans="2:5" x14ac:dyDescent="0.3">
      <c r="B90" s="1"/>
    </row>
    <row r="91" spans="2:5" x14ac:dyDescent="0.3">
      <c r="B91" s="1" t="s">
        <v>14</v>
      </c>
      <c r="C91" s="24">
        <f>('Financial Statements'!B18/'Financial Statements'!B8)*100</f>
        <v>30.288744395528592</v>
      </c>
      <c r="D91" s="24">
        <f>('Financial Statements'!C18/'Financial Statements'!C8)*100</f>
        <v>29.782377527561593</v>
      </c>
      <c r="E91" s="24">
        <f>('Financial Statements'!D18/'Financial Statements'!D8)*100</f>
        <v>24.147314354406863</v>
      </c>
    </row>
    <row r="92" spans="2:5" x14ac:dyDescent="0.3">
      <c r="B92" s="1" t="s">
        <v>93</v>
      </c>
      <c r="C92" s="24">
        <f>('Financial Statements'!B22/'Financial Statements'!B8)*100</f>
        <v>25.309640705199733</v>
      </c>
      <c r="D92" s="24">
        <f>D24</f>
        <v>25.881793355694239</v>
      </c>
      <c r="E92" s="24">
        <f>E24</f>
        <v>20.913611278072235</v>
      </c>
    </row>
    <row r="93" spans="2:5" x14ac:dyDescent="0.3">
      <c r="B93" s="1"/>
    </row>
    <row r="94" spans="2:5" x14ac:dyDescent="0.3">
      <c r="B94" s="17" t="s">
        <v>157</v>
      </c>
    </row>
    <row r="95" spans="2:5" x14ac:dyDescent="0.3">
      <c r="B95" s="1" t="s">
        <v>94</v>
      </c>
      <c r="C95" s="24">
        <f>('Financial Statements'!B21/'Financial Statements'!B20)*100</f>
        <v>16.204461684424405</v>
      </c>
      <c r="D95" s="24">
        <f>('Financial Statements'!C21/'Financial Statements'!C20)*100</f>
        <v>13.302260844085087</v>
      </c>
      <c r="E95" s="24">
        <f>('Financial Statements'!D21/'Financial Statements'!D20)*100</f>
        <v>14.428164731484102</v>
      </c>
    </row>
    <row r="96" spans="2:5" x14ac:dyDescent="0.3">
      <c r="B96" s="1" t="s">
        <v>95</v>
      </c>
      <c r="C96" s="24">
        <f>(C98/'Financial Statements'!B8)*100</f>
        <v>3.4948063541011543</v>
      </c>
      <c r="D96" s="24">
        <f>(D98/'Financial Statements'!C8)*100</f>
        <v>3.815568986679132</v>
      </c>
    </row>
    <row r="97" spans="2:6" x14ac:dyDescent="0.3">
      <c r="B97" s="1" t="s">
        <v>96</v>
      </c>
      <c r="C97" s="24">
        <f>(C98/'Financial Statements'!B47)*100</f>
        <v>6.3404646882907754</v>
      </c>
      <c r="D97" s="24">
        <f>(D98/'Financial Statements'!C47)*100</f>
        <v>6.4570746555887597</v>
      </c>
      <c r="F97" t="s">
        <v>176</v>
      </c>
    </row>
    <row r="98" spans="2:6" x14ac:dyDescent="0.3">
      <c r="B98" s="1" t="s">
        <v>160</v>
      </c>
      <c r="C98">
        <f>'Financial Statements'!B45-'Financial Statements'!C45+'Financial Statements'!B79</f>
        <v>13781</v>
      </c>
      <c r="D98">
        <f>'Financial Statements'!C45-'Financial Statements'!D45+'Financial Statements'!C79</f>
        <v>13958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2020-05-18T16:32:37Z</dcterms:created>
  <dcterms:modified xsi:type="dcterms:W3CDTF">2023-08-22T17:09:22Z</dcterms:modified>
</cp:coreProperties>
</file>