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ell\OneDrive - Solent University\Desktop\"/>
    </mc:Choice>
  </mc:AlternateContent>
  <xr:revisionPtr revIDLastSave="0" documentId="8_{14CC5089-5FD6-4519-92E6-B68D374EEF1D}" xr6:coauthVersionLast="47" xr6:coauthVersionMax="47" xr10:uidLastSave="{00000000-0000-0000-0000-000000000000}"/>
  <bookViews>
    <workbookView xWindow="-108" yWindow="-108" windowWidth="23256" windowHeight="12456" firstSheet="1" activeTab="2" xr2:uid="{00000000-000D-0000-FFFF-FFFF00000000}"/>
  </bookViews>
  <sheets>
    <sheet name="Instructions" sheetId="2" r:id="rId1"/>
    <sheet name="Financial Statements" sheetId="1" r:id="rId2"/>
    <sheet name="List of Rat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3" l="1"/>
  <c r="D57" i="3"/>
  <c r="E57" i="3"/>
  <c r="C54" i="3"/>
  <c r="D52" i="3"/>
  <c r="E52" i="3"/>
  <c r="C52" i="3"/>
  <c r="C42" i="3"/>
  <c r="D51" i="3"/>
  <c r="E51" i="3"/>
  <c r="C51" i="3"/>
  <c r="C31" i="3"/>
  <c r="D29" i="3"/>
  <c r="E29" i="3"/>
  <c r="C29" i="3"/>
  <c r="D25" i="3"/>
  <c r="E25" i="3"/>
  <c r="C25" i="3"/>
  <c r="C14" i="3"/>
  <c r="C11" i="3"/>
  <c r="D9" i="3"/>
  <c r="E9" i="3"/>
  <c r="C9" i="3"/>
  <c r="C7" i="3"/>
  <c r="C5" i="3"/>
  <c r="D38" i="3"/>
  <c r="E38" i="3"/>
  <c r="C38" i="3"/>
  <c r="C47" i="3" s="1"/>
  <c r="D41" i="3"/>
  <c r="E41" i="3"/>
  <c r="C41" i="3"/>
  <c r="C44" i="3" l="1"/>
  <c r="C39" i="3"/>
  <c r="D40" i="3"/>
  <c r="D44" i="3" s="1"/>
  <c r="H67" i="1"/>
  <c r="G68" i="1"/>
  <c r="H68" i="1" s="1"/>
  <c r="J70" i="1"/>
  <c r="B56" i="1"/>
  <c r="G39" i="1"/>
  <c r="B42" i="1"/>
  <c r="D108" i="1"/>
  <c r="C108" i="1"/>
  <c r="B108" i="1"/>
  <c r="D99" i="1"/>
  <c r="C99" i="1"/>
  <c r="B99" i="1"/>
  <c r="H69" i="1" l="1"/>
  <c r="C46" i="3" s="1"/>
  <c r="D39" i="3"/>
  <c r="E40" i="3"/>
  <c r="E44" i="3" s="1"/>
  <c r="D47" i="3"/>
  <c r="D46" i="3" s="1"/>
  <c r="C6" i="3"/>
  <c r="D68" i="1"/>
  <c r="C68" i="1"/>
  <c r="B68" i="1"/>
  <c r="D61" i="1"/>
  <c r="C61" i="1"/>
  <c r="B61" i="1"/>
  <c r="B62" i="1" s="1"/>
  <c r="D56" i="1"/>
  <c r="E7" i="3" s="1"/>
  <c r="C56" i="1"/>
  <c r="D47" i="1"/>
  <c r="C47" i="1"/>
  <c r="B47" i="1"/>
  <c r="B48" i="1" s="1"/>
  <c r="D42" i="1"/>
  <c r="C42" i="1"/>
  <c r="D17" i="1"/>
  <c r="C17" i="1"/>
  <c r="B17" i="1"/>
  <c r="D12" i="1"/>
  <c r="E36" i="3" s="1"/>
  <c r="C12" i="1"/>
  <c r="D36" i="3" s="1"/>
  <c r="B12" i="1"/>
  <c r="C36" i="3" s="1"/>
  <c r="D8" i="1"/>
  <c r="C8" i="1"/>
  <c r="B8" i="1"/>
  <c r="E3" i="3"/>
  <c r="D3" i="3"/>
  <c r="C3" i="3"/>
  <c r="D33" i="1"/>
  <c r="D73" i="1" s="1"/>
  <c r="C33" i="1"/>
  <c r="C73" i="1" s="1"/>
  <c r="B33" i="1"/>
  <c r="B73" i="1" s="1"/>
  <c r="D54" i="3" l="1"/>
  <c r="D27" i="3"/>
  <c r="C26" i="3"/>
  <c r="C8" i="3"/>
  <c r="C49" i="3"/>
  <c r="C27" i="3"/>
  <c r="E54" i="3"/>
  <c r="E27" i="3"/>
  <c r="E58" i="1"/>
  <c r="C43" i="3"/>
  <c r="C48" i="3"/>
  <c r="K31" i="1"/>
  <c r="E10" i="3"/>
  <c r="B13" i="1"/>
  <c r="C34" i="3"/>
  <c r="C35" i="3"/>
  <c r="G9" i="1"/>
  <c r="C17" i="3"/>
  <c r="C13" i="1"/>
  <c r="D35" i="3"/>
  <c r="D11" i="3"/>
  <c r="D12" i="3" s="1"/>
  <c r="D17" i="3"/>
  <c r="C13" i="3"/>
  <c r="D13" i="1"/>
  <c r="E35" i="3"/>
  <c r="E17" i="3"/>
  <c r="F38" i="1"/>
  <c r="E11" i="3"/>
  <c r="E12" i="3" s="1"/>
  <c r="I31" i="1"/>
  <c r="C10" i="3"/>
  <c r="J31" i="1"/>
  <c r="D10" i="3"/>
  <c r="D14" i="3"/>
  <c r="D13" i="3" s="1"/>
  <c r="D5" i="3"/>
  <c r="D6" i="3"/>
  <c r="C62" i="1"/>
  <c r="C69" i="1" s="1"/>
  <c r="D7" i="3"/>
  <c r="E39" i="3"/>
  <c r="E14" i="3"/>
  <c r="E13" i="3" s="1"/>
  <c r="E6" i="3"/>
  <c r="E5" i="3"/>
  <c r="E47" i="3"/>
  <c r="E46" i="3" s="1"/>
  <c r="C48" i="1"/>
  <c r="D62" i="1"/>
  <c r="D48" i="1"/>
  <c r="B69" i="1"/>
  <c r="A53" i="3"/>
  <c r="A55" i="3" s="1"/>
  <c r="A56" i="3" s="1"/>
  <c r="A16" i="3"/>
  <c r="A17" i="3" s="1"/>
  <c r="A18" i="3" s="1"/>
  <c r="A20" i="3" s="1"/>
  <c r="A22" i="3" s="1"/>
  <c r="A5" i="3"/>
  <c r="A6" i="3" s="1"/>
  <c r="A7" i="3" s="1"/>
  <c r="A8" i="3" s="1"/>
  <c r="A9" i="3" s="1"/>
  <c r="A10" i="3" s="1"/>
  <c r="A11" i="3" s="1"/>
  <c r="A12" i="3" s="1"/>
  <c r="A13" i="3" s="1"/>
  <c r="E8" i="3" l="1"/>
  <c r="E49" i="3"/>
  <c r="D34" i="3"/>
  <c r="D8" i="3"/>
  <c r="D49" i="3"/>
  <c r="D48" i="3" s="1"/>
  <c r="E34" i="3"/>
  <c r="C12" i="3"/>
  <c r="C21" i="3"/>
  <c r="F13" i="1"/>
  <c r="D69" i="1"/>
  <c r="D18" i="1"/>
  <c r="E21" i="3"/>
  <c r="B18" i="1"/>
  <c r="C18" i="1"/>
  <c r="D21" i="3"/>
  <c r="E43" i="3"/>
  <c r="E26" i="3"/>
  <c r="D26" i="3"/>
  <c r="D43" i="3"/>
  <c r="E48" i="3"/>
  <c r="A24" i="3"/>
  <c r="A25" i="3" s="1"/>
  <c r="A26" i="3" s="1"/>
  <c r="A27" i="3" s="1"/>
  <c r="A28" i="3" s="1"/>
  <c r="A29" i="3" s="1"/>
  <c r="A30" i="3" s="1"/>
  <c r="B20" i="1" l="1"/>
  <c r="B22" i="1" s="1"/>
  <c r="C19" i="3"/>
  <c r="C20" i="1"/>
  <c r="C22" i="1" s="1"/>
  <c r="D19" i="3"/>
  <c r="D20" i="1"/>
  <c r="D22" i="1" s="1"/>
  <c r="E19" i="3"/>
  <c r="C76" i="1"/>
  <c r="C91" i="1" s="1"/>
  <c r="D31" i="3" s="1"/>
  <c r="D42" i="3"/>
  <c r="D53" i="3"/>
  <c r="D22" i="3"/>
  <c r="D37" i="3"/>
  <c r="D55" i="3" s="1"/>
  <c r="E28" i="3"/>
  <c r="E20" i="3"/>
  <c r="D20" i="3"/>
  <c r="D28" i="3"/>
  <c r="D76" i="1"/>
  <c r="D91" i="1" s="1"/>
  <c r="E31" i="3" s="1"/>
  <c r="E22" i="3"/>
  <c r="E42" i="3"/>
  <c r="C28" i="3"/>
  <c r="C20" i="3"/>
  <c r="B76" i="1"/>
  <c r="B91" i="1" s="1"/>
  <c r="C22" i="3"/>
  <c r="C37" i="3"/>
  <c r="C55" i="3" s="1"/>
  <c r="I15" i="1"/>
  <c r="C53" i="3"/>
  <c r="A33" i="3"/>
  <c r="A45" i="3" s="1"/>
  <c r="A46" i="3" s="1"/>
  <c r="A47" i="3" s="1"/>
  <c r="A48" i="3" s="1"/>
  <c r="A49" i="3" s="1"/>
  <c r="A50" i="3" s="1"/>
  <c r="A52" i="3" s="1"/>
  <c r="E37" i="3" l="1"/>
  <c r="E55" i="3" s="1"/>
  <c r="E53" i="3"/>
  <c r="D109" i="1"/>
  <c r="E30" i="3"/>
  <c r="E18" i="3"/>
  <c r="E56" i="3"/>
  <c r="C50" i="3"/>
  <c r="C18" i="3"/>
  <c r="C56" i="3"/>
  <c r="B109" i="1"/>
  <c r="C30" i="3"/>
  <c r="D50" i="3"/>
  <c r="D18" i="3"/>
  <c r="D56" i="3"/>
  <c r="E50" i="3"/>
  <c r="C109" i="1"/>
  <c r="D30" i="3"/>
  <c r="A34" i="3"/>
  <c r="A35" i="3" s="1"/>
  <c r="A36" i="3" s="1"/>
  <c r="A37" i="3" s="1"/>
</calcChain>
</file>

<file path=xl/sharedStrings.xml><?xml version="1.0" encoding="utf-8"?>
<sst xmlns="http://schemas.openxmlformats.org/spreadsheetml/2006/main" count="227" uniqueCount="182">
  <si>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</si>
  <si>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</si>
  <si>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</si>
  <si>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</si>
  <si>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</si>
  <si>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</si>
  <si>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</si>
  <si>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</si>
  <si>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</si>
  <si>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</si>
  <si>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</si>
  <si>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</si>
  <si>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</si>
  <si>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</si>
  <si>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</si>
  <si>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</si>
  <si>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</si>
  <si>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</si>
  <si>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</si>
  <si>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</si>
  <si>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</si>
  <si>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</si>
  <si>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</si>
  <si>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</si>
  <si>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</si>
  <si>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</si>
  <si>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</si>
  <si>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</si>
  <si>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</si>
  <si>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</si>
  <si>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</si>
  <si>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</si>
  <si>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</si>
  <si>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</si>
  <si>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</si>
  <si>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</si>
  <si>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</si>
  <si>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</si>
  <si>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</si>
  <si>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</si>
  <si>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</si>
  <si>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</si>
  <si>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</si>
  <si>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</si>
  <si>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</si>
  <si>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</si>
  <si>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</si>
  <si>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</si>
  <si>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</si>
  <si>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</si>
  <si>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</si>
  <si>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</si>
  <si>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</si>
  <si>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</si>
  <si>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</si>
  <si>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</si>
  <si>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</si>
  <si>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</si>
  <si>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</si>
  <si>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</si>
  <si>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</si>
  <si>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</si>
  <si>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</si>
  <si>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</si>
  <si>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</si>
  <si>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</si>
  <si>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</si>
  <si>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</si>
  <si>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</si>
  <si>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</si>
  <si>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</si>
  <si>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</si>
  <si>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</si>
  <si>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</si>
  <si>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</si>
  <si>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</si>
  <si>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</si>
  <si>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</si>
  <si>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</si>
  <si>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</si>
  <si>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</si>
  <si>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</si>
  <si>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</si>
  <si>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</si>
  <si>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</si>
  <si>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</si>
  <si>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</si>
  <si>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</si>
  <si>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</si>
  <si>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</si>
  <si>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</si>
  <si>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</si>
  <si>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</si>
  <si>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</si>
  <si>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</si>
  <si>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</si>
  <si>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</si>
  <si>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</si>
  <si>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</si>
  <si>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</si>
  <si>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</si>
  <si>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</si>
  <si>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</si>
  <si>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</si>
  <si>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</si>
  <si>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</si>
  <si>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</si>
  <si>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</si>
  <si>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</si>
  <si>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</si>
  <si>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</si>
  <si>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</si>
  <si>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</si>
  <si>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</si>
  <si>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</si>
  <si>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</si>
  <si>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</si>
  <si>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</si>
  <si>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</si>
  <si>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</si>
  <si>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</si>
  <si>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</si>
  <si>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</si>
  <si>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</si>
  <si>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</si>
  <si>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</si>
  <si>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</si>
  <si>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</si>
  <si>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</si>
  <si>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</si>
  <si>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</si>
  <si>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</si>
  <si>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</si>
  <si>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</si>
  <si>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</si>
  <si>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</si>
  <si>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</si>
  <si>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</si>
  <si>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</si>
  <si>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</si>
  <si>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</si>
  <si>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</si>
  <si>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</si>
  <si>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</si>
  <si>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</si>
  <si>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</si>
  <si>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</si>
  <si>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</si>
  <si>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</si>
  <si>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</si>
  <si>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shares outstanding</t>
  </si>
  <si>
    <t>Weighted Average Number of Shares Outstanding</t>
  </si>
  <si>
    <t>Share Price</t>
  </si>
  <si>
    <t>Number of Shares Outstanding</t>
  </si>
  <si>
    <t>Annual dividend per share</t>
  </si>
  <si>
    <t>Capital Employed= Total Asset - Current Liabilities</t>
  </si>
  <si>
    <t>Market Capitalization</t>
  </si>
  <si>
    <t>Current Assets / Daily Operational Expenses where Daily Operational Expenses = (Annual Operating Expenses - Noncash Charges) / 365</t>
  </si>
  <si>
    <t>(Inventory / COGS) x 365</t>
  </si>
  <si>
    <t>Inventory Days + Receivable Days - Payable Days</t>
  </si>
  <si>
    <t>Operating Income in row 18 - Depreciation in row 79</t>
  </si>
  <si>
    <t>Include only term debt, since differed revenue is not an actual form of capital</t>
  </si>
  <si>
    <t>Include only term debt, since differed revenue is not an actual form of capital, Equity should be linked to row 68</t>
  </si>
  <si>
    <t>Include only term debt under debt, since differed revenue is not an actual form of capital</t>
  </si>
  <si>
    <t>Include only term debt, since differed revenue is not actual debt, it is an accounting charge</t>
  </si>
  <si>
    <t>Cash from operations + Payments made in connection with business acquisitions + Proceeds from issuance of term debt (all the numbers are from cash flow statement, not from balance sheet)</t>
  </si>
  <si>
    <t>COGS / Inventory (from balance sheet)</t>
  </si>
  <si>
    <t>Dividend paid is in the cash flow statement</t>
  </si>
  <si>
    <t>Capital employed = Debt + Equity, include only term debt, since differed revenue is not an actual form of capital</t>
  </si>
  <si>
    <t>Feedback</t>
  </si>
  <si>
    <t>Please use the Diluted share count for this calculation and the shares reported are already weighted average, so you don't need to calculate averages. Please note that the income statement is in millions while the share count is in absolute value, therefore, please divide the share count by 1,000</t>
  </si>
  <si>
    <t>Please use the Diluted share count for this calculation and the shares reported are already weighted average, so you don't need to calculate averages. Please note that the income statement is in millions while the share count is in absolute value, therefore, please divide the share count by 1,000
Market Cap + Total Debt - (Cash + Cash Equivalents). Include only term debt for debt value</t>
  </si>
  <si>
    <t>Action</t>
  </si>
  <si>
    <t>Corrected</t>
  </si>
  <si>
    <t>Dividend</t>
  </si>
  <si>
    <t>Shares Outstanding</t>
  </si>
  <si>
    <t>Done</t>
  </si>
  <si>
    <t>Feedback 2</t>
  </si>
  <si>
    <t>Denominator should be Cost of Goods Sold, not Sales revenue (Done)</t>
  </si>
  <si>
    <t>Do not include the current portion od the term debt in capital related ratios, since short term debt is not considered capital. (Done)</t>
  </si>
  <si>
    <t>Repayment of Short term debt in in the cash flow statement, row 105. (Done)</t>
  </si>
  <si>
    <t>Shares outstanding is wrong, it should be linked to Financial Statements row 28 (Done)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</si>
</sst>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_);_(* \(#,##0\);_(* &quot;-&quot;??_);_(@_)"/>
    <numFmt numFmtId="166" formatCode="0.0"/>
    <numFmt numFmtId="167" formatCode="0.000"/>
    <numFmt numFmtId="168" formatCode="0.0%"/>
    <numFmt numFmtId="170" formatCode="0.0000"/>
    <numFmt numFmtId="171" formatCode="_-* #,##0.0_-;\-* #,##0.0_-;_-* &quot;-&quot;?_-;_-@_-"/>
    <numFmt numFmtId="172" formatCode="0.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b/>
      <sz val="11"/>
      <color theme="1" tint="0.14999847407452621"/>
      <name val="Calibri"/>
      <family val="2"/>
      <scheme val="minor"/>
    </font>
    <font>
      <b/>
      <sz val="16"/>
      <color theme="0"/>
      <name val="Calibri"/>
      <family val="2"/>
      <scheme val="minor"/>
    </font>
    <font>
      <b/>
      <sz val="14"/>
      <color theme="1"/>
      <name val="Calibri"/>
      <family val="2"/>
      <scheme val="minor"/>
    </font>
    <font>
      <b/>
      <sz val="16"/>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249977111117893"/>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54">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167" fontId="0" fillId="0" borderId="0" xfId="0" applyNumberFormat="1"/>
    <xf numFmtId="2" fontId="0" fillId="0" borderId="0" xfId="0" applyNumberFormat="1"/>
    <xf numFmtId="165" fontId="0" fillId="0" borderId="0" xfId="0" applyNumberFormat="1"/>
    <xf numFmtId="43" fontId="0" fillId="0" borderId="0" xfId="0" applyNumberFormat="1"/>
    <xf numFmtId="1" fontId="0" fillId="0" borderId="0" xfId="0" applyNumberFormat="1"/>
    <xf numFmtId="9" fontId="0" fillId="0" borderId="0" xfId="3" applyFont="1"/>
    <xf numFmtId="0" fontId="0" fillId="0" borderId="0" xfId="0" quotePrefix="1"/>
    <xf numFmtId="168" fontId="0" fillId="0" borderId="0" xfId="3" applyNumberFormat="1" applyFont="1"/>
    <xf numFmtId="171" fontId="0" fillId="0" borderId="0" xfId="0" applyNumberFormat="1"/>
    <xf numFmtId="171" fontId="2" fillId="0" borderId="0" xfId="0" applyNumberFormat="1" applyFont="1"/>
    <xf numFmtId="168" fontId="0" fillId="0" borderId="0" xfId="0" applyNumberFormat="1"/>
    <xf numFmtId="166" fontId="2" fillId="0" borderId="0" xfId="0" applyNumberFormat="1" applyFont="1"/>
    <xf numFmtId="172" fontId="0" fillId="0" borderId="0" xfId="3" applyNumberFormat="1" applyFont="1"/>
    <xf numFmtId="0" fontId="8" fillId="5" borderId="0" xfId="0" applyFont="1" applyFill="1" applyAlignment="1">
      <alignment horizontal="left" indent="1"/>
    </xf>
    <xf numFmtId="0" fontId="8" fillId="5" borderId="0" xfId="0" applyFont="1" applyFill="1"/>
    <xf numFmtId="170" fontId="8" fillId="5" borderId="0" xfId="0" applyNumberFormat="1" applyFont="1" applyFill="1"/>
    <xf numFmtId="1" fontId="8" fillId="5" borderId="0" xfId="0" applyNumberFormat="1" applyFont="1" applyFill="1"/>
    <xf numFmtId="0" fontId="0" fillId="0" borderId="0" xfId="0" applyAlignment="1">
      <alignment wrapText="1"/>
    </xf>
    <xf numFmtId="166" fontId="0" fillId="0" borderId="0" xfId="0" applyNumberFormat="1" applyAlignment="1">
      <alignment wrapText="1"/>
    </xf>
    <xf numFmtId="0" fontId="0" fillId="0" borderId="0" xfId="0" applyAlignment="1">
      <alignment horizontal="left" wrapText="1"/>
    </xf>
    <xf numFmtId="1" fontId="0" fillId="0" borderId="0" xfId="0" applyNumberFormat="1" applyAlignment="1">
      <alignment wrapText="1"/>
    </xf>
    <xf numFmtId="0" fontId="9" fillId="2" borderId="0" xfId="0" applyFont="1" applyFill="1" applyAlignment="1">
      <alignment horizontal="center"/>
    </xf>
    <xf numFmtId="0" fontId="10" fillId="6" borderId="0" xfId="0" applyFont="1" applyFill="1"/>
    <xf numFmtId="0" fontId="0" fillId="7" borderId="0" xfId="0" applyFill="1" applyAlignment="1">
      <alignment horizontal="center"/>
    </xf>
    <xf numFmtId="0" fontId="11" fillId="8" borderId="0" xfId="0" applyFont="1" applyFill="1" applyAlignment="1">
      <alignment horizontal="center"/>
    </xf>
    <xf numFmtId="3" fontId="8" fillId="5" borderId="0" xfId="0" applyNumberFormat="1" applyFont="1" applyFill="1"/>
    <xf numFmtId="0" fontId="0" fillId="8" borderId="0" xfId="0" applyFill="1" applyAlignment="1">
      <alignment horizontal="center" wrapText="1"/>
    </xf>
    <xf numFmtId="0" fontId="2" fillId="8" borderId="0" xfId="0" applyFont="1" applyFill="1" applyAlignment="1">
      <alignment horizontal="center"/>
    </xf>
    <xf numFmtId="0" fontId="0" fillId="8" borderId="0" xfId="0" applyFill="1" applyAlignment="1">
      <alignment horizontal="center"/>
    </xf>
    <xf numFmtId="0" fontId="2" fillId="0" borderId="0" xfId="0" applyFont="1" applyAlignment="1">
      <alignment horizontal="center"/>
    </xf>
    <xf numFmtId="0" fontId="2" fillId="3" borderId="0" xfId="0" applyFont="1" applyFill="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workbookViewId="0">
      <selection activeCell="A27" sqref="A27"/>
    </sheetView>
  </sheetViews>
  <sheetFormatPr defaultRowHeight="14.4" x14ac:dyDescent="0.3"/>
  <cols>
    <col min="1" max="1" width="104.5546875" customWidth="1"/>
  </cols>
  <sheetData>
    <row r="1" spans="1:1" ht="23.4" x14ac:dyDescent="0.45">
      <c r="A1" s="5" t="s">
        <v>87</v>
      </c>
    </row>
    <row r="3" spans="1:1" x14ac:dyDescent="0.3">
      <c r="A3" s="7" t="s">
        <v>141</v>
      </c>
    </row>
    <row r="4" spans="1:1" x14ac:dyDescent="0.3">
      <c r="A4" s="16" t="s">
        <v>88</v>
      </c>
    </row>
    <row r="5" spans="1:1" x14ac:dyDescent="0.3">
      <c r="A5" s="7" t="s">
        <v>97</v>
      </c>
    </row>
    <row r="6" spans="1:1" x14ac:dyDescent="0.3">
      <c r="A6" s="1" t="s">
        <v>148</v>
      </c>
    </row>
    <row r="7" spans="1:1" x14ac:dyDescent="0.3">
      <c r="A7" s="1"/>
    </row>
    <row r="8" spans="1:1" x14ac:dyDescent="0.3">
      <c r="A8" s="17" t="s">
        <v>149</v>
      </c>
    </row>
    <row r="9" spans="1:1" x14ac:dyDescent="0.3">
      <c r="A9" s="1" t="s">
        <v>145</v>
      </c>
    </row>
    <row r="10" spans="1:1" x14ac:dyDescent="0.3">
      <c r="A10" s="1" t="s">
        <v>89</v>
      </c>
    </row>
    <row r="11" spans="1:1" x14ac:dyDescent="0.3">
      <c r="A11" s="1" t="s">
        <v>90</v>
      </c>
    </row>
    <row r="12" spans="1:1" x14ac:dyDescent="0.3">
      <c r="A12" s="1" t="s">
        <v>91</v>
      </c>
    </row>
    <row r="13" spans="1:1" x14ac:dyDescent="0.3">
      <c r="A13" s="1"/>
    </row>
    <row r="14" spans="1:1" x14ac:dyDescent="0.3">
      <c r="A14" s="17" t="s">
        <v>92</v>
      </c>
    </row>
    <row r="15" spans="1:1" x14ac:dyDescent="0.3">
      <c r="A15" s="1" t="s">
        <v>146</v>
      </c>
    </row>
    <row r="16" spans="1:1" x14ac:dyDescent="0.3">
      <c r="A16" s="1" t="s">
        <v>89</v>
      </c>
    </row>
    <row r="17" spans="1:1" x14ac:dyDescent="0.3">
      <c r="A17" s="1" t="s">
        <v>90</v>
      </c>
    </row>
    <row r="18" spans="1:1" x14ac:dyDescent="0.3">
      <c r="A18" s="1" t="s">
        <v>14</v>
      </c>
    </row>
    <row r="19" spans="1:1" x14ac:dyDescent="0.3">
      <c r="A19" s="1" t="s">
        <v>93</v>
      </c>
    </row>
    <row r="20" spans="1:1" x14ac:dyDescent="0.3">
      <c r="A20" s="1"/>
    </row>
    <row r="21" spans="1:1" x14ac:dyDescent="0.3">
      <c r="A21" s="17" t="s">
        <v>98</v>
      </c>
    </row>
    <row r="22" spans="1:1" x14ac:dyDescent="0.3">
      <c r="A22" s="1" t="s">
        <v>94</v>
      </c>
    </row>
    <row r="23" spans="1:1" x14ac:dyDescent="0.3">
      <c r="A23" s="1" t="s">
        <v>95</v>
      </c>
    </row>
    <row r="24" spans="1:1" x14ac:dyDescent="0.3">
      <c r="A24" s="1" t="s">
        <v>96</v>
      </c>
    </row>
    <row r="25" spans="1:1" x14ac:dyDescent="0.3">
      <c r="A25" s="1"/>
    </row>
    <row r="26" spans="1:1" x14ac:dyDescent="0.3">
      <c r="A26" s="17" t="s">
        <v>144</v>
      </c>
    </row>
    <row r="27" spans="1:1" x14ac:dyDescent="0.3">
      <c r="A27" s="16" t="s">
        <v>143</v>
      </c>
    </row>
    <row r="29" spans="1:1" x14ac:dyDescent="0.3">
      <c r="A29" s="7" t="s">
        <v>147</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4"/>
  <sheetViews>
    <sheetView topLeftCell="A69" workbookViewId="0">
      <selection activeCell="A45" sqref="A45"/>
    </sheetView>
  </sheetViews>
  <sheetFormatPr defaultRowHeight="14.4" x14ac:dyDescent="0.3"/>
  <cols>
    <col min="1" max="1" width="78.33203125" customWidth="1"/>
    <col min="2" max="3" width="11.5546875" bestFit="1" customWidth="1"/>
    <col min="4" max="4" width="11.6640625" bestFit="1" customWidth="1"/>
    <col min="7" max="7" width="42.88671875" customWidth="1"/>
    <col min="8" max="8" width="12" bestFit="1" customWidth="1"/>
    <col min="9" max="9" width="13.5546875" customWidth="1"/>
    <col min="10" max="10" width="17.77734375" customWidth="1"/>
  </cols>
  <sheetData>
    <row r="1" spans="1:10" ht="60" customHeight="1" x14ac:dyDescent="0.3">
      <c r="A1" s="6" t="s">
        <v>0</v>
      </c>
      <c r="B1" s="4" t="s">
        <v>2</v>
      </c>
      <c r="C1" s="4"/>
      <c r="D1" s="4"/>
      <c r="E1" s="4"/>
      <c r="F1" s="4"/>
      <c r="G1" s="4"/>
      <c r="H1" s="4"/>
      <c r="I1" s="4"/>
      <c r="J1" s="4"/>
    </row>
    <row r="2" spans="1:10" x14ac:dyDescent="0.3">
      <c r="A2" s="53" t="s">
        <v>1</v>
      </c>
      <c r="B2" s="53"/>
      <c r="C2" s="53"/>
      <c r="D2" s="53"/>
    </row>
    <row r="3" spans="1:10" x14ac:dyDescent="0.3">
      <c r="B3" s="52" t="s">
        <v>23</v>
      </c>
      <c r="C3" s="52"/>
      <c r="D3" s="52"/>
    </row>
    <row r="4" spans="1:10" x14ac:dyDescent="0.3">
      <c r="B4" s="7">
        <v>2022</v>
      </c>
      <c r="C4" s="7">
        <v>2021</v>
      </c>
      <c r="D4" s="7">
        <v>2020</v>
      </c>
    </row>
    <row r="5" spans="1:10" x14ac:dyDescent="0.3">
      <c r="A5" t="s">
        <v>3</v>
      </c>
    </row>
    <row r="6" spans="1:10" x14ac:dyDescent="0.3">
      <c r="A6" s="1" t="s">
        <v>4</v>
      </c>
      <c r="B6" s="12">
        <v>316199</v>
      </c>
      <c r="C6" s="12">
        <v>297392</v>
      </c>
      <c r="D6" s="12">
        <v>220747</v>
      </c>
    </row>
    <row r="7" spans="1:10" x14ac:dyDescent="0.3">
      <c r="A7" s="1" t="s">
        <v>5</v>
      </c>
      <c r="B7" s="12">
        <v>78129</v>
      </c>
      <c r="C7" s="12">
        <v>68425</v>
      </c>
      <c r="D7" s="12">
        <v>53768</v>
      </c>
    </row>
    <row r="8" spans="1:10" x14ac:dyDescent="0.3">
      <c r="A8" s="8" t="s">
        <v>6</v>
      </c>
      <c r="B8" s="13">
        <f>+B6+B7</f>
        <v>394328</v>
      </c>
      <c r="C8" s="13">
        <f t="shared" ref="C8:D8" si="0">+C6+C7</f>
        <v>365817</v>
      </c>
      <c r="D8" s="13">
        <f t="shared" si="0"/>
        <v>274515</v>
      </c>
    </row>
    <row r="9" spans="1:10" x14ac:dyDescent="0.3">
      <c r="A9" t="s">
        <v>7</v>
      </c>
      <c r="B9" s="12"/>
      <c r="C9" s="12"/>
      <c r="D9" s="12"/>
      <c r="G9" s="25">
        <f>B8-B12</f>
        <v>170782</v>
      </c>
    </row>
    <row r="10" spans="1:10" x14ac:dyDescent="0.3">
      <c r="A10" s="1" t="s">
        <v>4</v>
      </c>
      <c r="B10" s="12">
        <v>201471</v>
      </c>
      <c r="C10" s="12">
        <v>192266</v>
      </c>
      <c r="D10" s="12">
        <v>151286</v>
      </c>
    </row>
    <row r="11" spans="1:10" x14ac:dyDescent="0.3">
      <c r="A11" s="1" t="s">
        <v>5</v>
      </c>
      <c r="B11" s="12">
        <v>22075</v>
      </c>
      <c r="C11" s="12">
        <v>20715</v>
      </c>
      <c r="D11" s="12">
        <v>18273</v>
      </c>
      <c r="I11" s="25"/>
      <c r="J11" s="26"/>
    </row>
    <row r="12" spans="1:10" x14ac:dyDescent="0.3">
      <c r="A12" s="8" t="s">
        <v>8</v>
      </c>
      <c r="B12" s="13">
        <f>+B10+B11</f>
        <v>223546</v>
      </c>
      <c r="C12" s="13">
        <f t="shared" ref="C12:D12" si="1">+C10+C11</f>
        <v>212981</v>
      </c>
      <c r="D12" s="13">
        <f t="shared" si="1"/>
        <v>169559</v>
      </c>
    </row>
    <row r="13" spans="1:10" x14ac:dyDescent="0.3">
      <c r="A13" s="8" t="s">
        <v>9</v>
      </c>
      <c r="B13" s="13">
        <f>+B8-B12</f>
        <v>170782</v>
      </c>
      <c r="C13" s="13">
        <f t="shared" ref="C13:D13" si="2">+C8-C12</f>
        <v>152836</v>
      </c>
      <c r="D13" s="13">
        <f t="shared" si="2"/>
        <v>104956</v>
      </c>
      <c r="F13" s="25">
        <f>B13-B17</f>
        <v>119437</v>
      </c>
    </row>
    <row r="14" spans="1:10" x14ac:dyDescent="0.3">
      <c r="A14" t="s">
        <v>10</v>
      </c>
      <c r="B14" s="12"/>
      <c r="C14" s="12"/>
      <c r="D14" s="12"/>
    </row>
    <row r="15" spans="1:10" x14ac:dyDescent="0.3">
      <c r="A15" s="1" t="s">
        <v>11</v>
      </c>
      <c r="B15" s="12">
        <v>26251</v>
      </c>
      <c r="C15" s="12">
        <v>21914</v>
      </c>
      <c r="D15" s="12">
        <v>18752</v>
      </c>
      <c r="I15">
        <f>B22/B8</f>
        <v>0.25309640705199732</v>
      </c>
    </row>
    <row r="16" spans="1:10" x14ac:dyDescent="0.3">
      <c r="A16" s="1" t="s">
        <v>12</v>
      </c>
      <c r="B16" s="12">
        <v>25094</v>
      </c>
      <c r="C16" s="12">
        <v>21973</v>
      </c>
      <c r="D16" s="12">
        <v>19916</v>
      </c>
      <c r="F16" s="25"/>
    </row>
    <row r="17" spans="1:11" x14ac:dyDescent="0.3">
      <c r="A17" s="8" t="s">
        <v>13</v>
      </c>
      <c r="B17" s="13">
        <f>+B15+B16</f>
        <v>51345</v>
      </c>
      <c r="C17" s="13">
        <f t="shared" ref="C17" si="3">+C15+C16</f>
        <v>43887</v>
      </c>
      <c r="D17" s="13">
        <f t="shared" ref="D17" si="4">+D15+D16</f>
        <v>38668</v>
      </c>
    </row>
    <row r="18" spans="1:11" s="7" customFormat="1" x14ac:dyDescent="0.3">
      <c r="A18" s="8" t="s">
        <v>14</v>
      </c>
      <c r="B18" s="13">
        <f>+B13-B17</f>
        <v>119437</v>
      </c>
      <c r="C18" s="13">
        <f t="shared" ref="C18:D18" si="5">+C13-C17</f>
        <v>108949</v>
      </c>
      <c r="D18" s="13">
        <f t="shared" si="5"/>
        <v>66288</v>
      </c>
    </row>
    <row r="19" spans="1:11" x14ac:dyDescent="0.3">
      <c r="A19" t="s">
        <v>15</v>
      </c>
      <c r="B19" s="12">
        <v>-334</v>
      </c>
      <c r="C19" s="12">
        <v>258</v>
      </c>
      <c r="D19" s="12">
        <v>803</v>
      </c>
    </row>
    <row r="20" spans="1:11" x14ac:dyDescent="0.3">
      <c r="A20" s="8" t="s">
        <v>16</v>
      </c>
      <c r="B20" s="13">
        <f>+B18+B19</f>
        <v>119103</v>
      </c>
      <c r="C20" s="13">
        <f t="shared" ref="C20:D20" si="6">+C18+C19</f>
        <v>109207</v>
      </c>
      <c r="D20" s="13">
        <f t="shared" si="6"/>
        <v>67091</v>
      </c>
    </row>
    <row r="21" spans="1:11" x14ac:dyDescent="0.3">
      <c r="A21" t="s">
        <v>17</v>
      </c>
      <c r="B21" s="12">
        <v>19300</v>
      </c>
      <c r="C21" s="12">
        <v>14527</v>
      </c>
      <c r="D21" s="12">
        <v>9680</v>
      </c>
    </row>
    <row r="22" spans="1:11" ht="15" thickBot="1" x14ac:dyDescent="0.35">
      <c r="A22" s="9" t="s">
        <v>18</v>
      </c>
      <c r="B22" s="14">
        <f>+B20-B21</f>
        <v>99803</v>
      </c>
      <c r="C22" s="14">
        <f t="shared" ref="C22:D22" si="7">+C20-C21</f>
        <v>94680</v>
      </c>
      <c r="D22" s="14">
        <f t="shared" si="7"/>
        <v>57411</v>
      </c>
      <c r="H22" s="25"/>
    </row>
    <row r="23" spans="1:11" ht="15" thickTop="1" x14ac:dyDescent="0.3">
      <c r="A23" t="s">
        <v>19</v>
      </c>
    </row>
    <row r="24" spans="1:11" x14ac:dyDescent="0.3">
      <c r="A24" s="1" t="s">
        <v>20</v>
      </c>
      <c r="B24" s="10">
        <v>6.15</v>
      </c>
      <c r="C24" s="10">
        <v>5.67</v>
      </c>
      <c r="D24" s="10">
        <v>3.31</v>
      </c>
    </row>
    <row r="25" spans="1:11" x14ac:dyDescent="0.3">
      <c r="A25" s="1" t="s">
        <v>21</v>
      </c>
      <c r="B25" s="10">
        <v>6.11</v>
      </c>
      <c r="C25" s="10">
        <v>5.61</v>
      </c>
      <c r="D25" s="10">
        <v>3.28</v>
      </c>
    </row>
    <row r="26" spans="1:11" x14ac:dyDescent="0.3">
      <c r="A26" t="s">
        <v>22</v>
      </c>
    </row>
    <row r="27" spans="1:11" x14ac:dyDescent="0.3">
      <c r="A27" s="1" t="s">
        <v>20</v>
      </c>
      <c r="B27" s="2">
        <v>16215963</v>
      </c>
      <c r="C27" s="2">
        <v>16701272</v>
      </c>
      <c r="D27" s="2">
        <v>17352119</v>
      </c>
    </row>
    <row r="28" spans="1:11" x14ac:dyDescent="0.3">
      <c r="A28" s="1" t="s">
        <v>21</v>
      </c>
      <c r="B28" s="2">
        <v>16325819</v>
      </c>
      <c r="C28" s="2">
        <v>16864919</v>
      </c>
      <c r="D28" s="2">
        <v>17528214</v>
      </c>
    </row>
    <row r="31" spans="1:11" x14ac:dyDescent="0.3">
      <c r="A31" s="53" t="s">
        <v>24</v>
      </c>
      <c r="B31" s="53"/>
      <c r="C31" s="53"/>
      <c r="D31" s="53"/>
      <c r="I31" s="27">
        <f>(B51/B12)*365</f>
        <v>104.68527730310539</v>
      </c>
      <c r="J31" s="27">
        <f>(C51/C12)*365</f>
        <v>93.851071222315596</v>
      </c>
      <c r="K31" s="27">
        <f>(D51/D12)*365</f>
        <v>91.048189715674198</v>
      </c>
    </row>
    <row r="32" spans="1:11" x14ac:dyDescent="0.3">
      <c r="B32" s="52" t="s">
        <v>142</v>
      </c>
      <c r="C32" s="52"/>
      <c r="D32" s="52"/>
    </row>
    <row r="33" spans="1:8" x14ac:dyDescent="0.3">
      <c r="B33" s="7">
        <f>+B4</f>
        <v>2022</v>
      </c>
      <c r="C33" s="7">
        <f t="shared" ref="C33:D33" si="8">+C4</f>
        <v>2021</v>
      </c>
      <c r="D33" s="7">
        <f t="shared" si="8"/>
        <v>2020</v>
      </c>
    </row>
    <row r="35" spans="1:8" x14ac:dyDescent="0.3">
      <c r="A35" t="s">
        <v>25</v>
      </c>
    </row>
    <row r="36" spans="1:8" x14ac:dyDescent="0.3">
      <c r="A36" s="1" t="s">
        <v>26</v>
      </c>
      <c r="B36" s="12">
        <v>23646</v>
      </c>
      <c r="C36" s="12">
        <v>34940</v>
      </c>
      <c r="D36" s="12">
        <v>38016</v>
      </c>
      <c r="H36" s="25"/>
    </row>
    <row r="37" spans="1:8" x14ac:dyDescent="0.3">
      <c r="A37" s="1" t="s">
        <v>27</v>
      </c>
      <c r="B37" s="12">
        <v>24658</v>
      </c>
      <c r="C37" s="12">
        <v>27699</v>
      </c>
      <c r="D37" s="12">
        <v>52927</v>
      </c>
    </row>
    <row r="38" spans="1:8" x14ac:dyDescent="0.3">
      <c r="A38" s="1" t="s">
        <v>28</v>
      </c>
      <c r="B38" s="12">
        <v>28184</v>
      </c>
      <c r="C38" s="12">
        <v>26278</v>
      </c>
      <c r="D38" s="12">
        <v>16120</v>
      </c>
      <c r="F38">
        <f>365/(D8/D38)</f>
        <v>21.433437152796753</v>
      </c>
      <c r="H38" s="25"/>
    </row>
    <row r="39" spans="1:8" x14ac:dyDescent="0.3">
      <c r="A39" s="1" t="s">
        <v>29</v>
      </c>
      <c r="B39" s="12">
        <v>4946</v>
      </c>
      <c r="C39" s="12">
        <v>6580</v>
      </c>
      <c r="D39" s="12">
        <v>4061</v>
      </c>
      <c r="G39" s="25">
        <f>365/(B10/B39)</f>
        <v>8.9605451901266182</v>
      </c>
    </row>
    <row r="40" spans="1:8" x14ac:dyDescent="0.3">
      <c r="A40" s="1" t="s">
        <v>47</v>
      </c>
      <c r="B40" s="12">
        <v>32748</v>
      </c>
      <c r="C40" s="12">
        <v>25228</v>
      </c>
      <c r="D40" s="12">
        <v>21325</v>
      </c>
    </row>
    <row r="41" spans="1:8" x14ac:dyDescent="0.3">
      <c r="A41" s="1" t="s">
        <v>30</v>
      </c>
      <c r="B41" s="12">
        <v>21223</v>
      </c>
      <c r="C41" s="12">
        <v>14111</v>
      </c>
      <c r="D41" s="12">
        <v>11264</v>
      </c>
    </row>
    <row r="42" spans="1:8" x14ac:dyDescent="0.3">
      <c r="A42" s="8" t="s">
        <v>31</v>
      </c>
      <c r="B42" s="13">
        <f>+SUM(B36:B41)</f>
        <v>135405</v>
      </c>
      <c r="C42" s="13">
        <f t="shared" ref="C42:D42" si="9">+SUM(C36:C41)</f>
        <v>134836</v>
      </c>
      <c r="D42" s="13">
        <f t="shared" si="9"/>
        <v>143713</v>
      </c>
    </row>
    <row r="43" spans="1:8" x14ac:dyDescent="0.3">
      <c r="A43" t="s">
        <v>48</v>
      </c>
      <c r="B43" s="12"/>
      <c r="C43" s="12"/>
      <c r="D43" s="12"/>
    </row>
    <row r="44" spans="1:8" x14ac:dyDescent="0.3">
      <c r="A44" s="1" t="s">
        <v>27</v>
      </c>
      <c r="B44" s="12">
        <v>120805</v>
      </c>
      <c r="C44" s="12">
        <v>127877</v>
      </c>
      <c r="D44" s="12">
        <v>100887</v>
      </c>
    </row>
    <row r="45" spans="1:8" x14ac:dyDescent="0.3">
      <c r="A45" s="1" t="s">
        <v>32</v>
      </c>
      <c r="B45" s="12">
        <v>42117</v>
      </c>
      <c r="C45" s="12">
        <v>39440</v>
      </c>
      <c r="D45" s="12">
        <v>36766</v>
      </c>
    </row>
    <row r="46" spans="1:8" x14ac:dyDescent="0.3">
      <c r="A46" s="1" t="s">
        <v>49</v>
      </c>
      <c r="B46" s="12">
        <v>54428</v>
      </c>
      <c r="C46" s="12">
        <v>48849</v>
      </c>
      <c r="D46" s="12">
        <v>42522</v>
      </c>
    </row>
    <row r="47" spans="1:8" x14ac:dyDescent="0.3">
      <c r="A47" s="8" t="s">
        <v>50</v>
      </c>
      <c r="B47" s="13">
        <f>+SUM(B44:B46)</f>
        <v>217350</v>
      </c>
      <c r="C47" s="13">
        <f t="shared" ref="C47:D47" si="10">+SUM(C44:C46)</f>
        <v>216166</v>
      </c>
      <c r="D47" s="13">
        <f t="shared" si="10"/>
        <v>180175</v>
      </c>
    </row>
    <row r="48" spans="1:8" ht="15" thickBot="1" x14ac:dyDescent="0.35">
      <c r="A48" s="9" t="s">
        <v>33</v>
      </c>
      <c r="B48" s="14">
        <f>+B42+B47</f>
        <v>352755</v>
      </c>
      <c r="C48" s="14">
        <f t="shared" ref="C48:D48" si="11">+C42+C47</f>
        <v>351002</v>
      </c>
      <c r="D48" s="14">
        <f t="shared" si="11"/>
        <v>323888</v>
      </c>
    </row>
    <row r="49" spans="1:5" ht="15" thickTop="1" x14ac:dyDescent="0.3"/>
    <row r="50" spans="1:5" x14ac:dyDescent="0.3">
      <c r="A50" t="s">
        <v>34</v>
      </c>
    </row>
    <row r="51" spans="1:5" x14ac:dyDescent="0.3">
      <c r="A51" s="1" t="s">
        <v>35</v>
      </c>
      <c r="B51" s="12">
        <v>64115</v>
      </c>
      <c r="C51" s="12">
        <v>54763</v>
      </c>
      <c r="D51" s="12">
        <v>42296</v>
      </c>
    </row>
    <row r="52" spans="1:5" x14ac:dyDescent="0.3">
      <c r="A52" s="1" t="s">
        <v>36</v>
      </c>
      <c r="B52" s="12">
        <v>60845</v>
      </c>
      <c r="C52" s="12">
        <v>47493</v>
      </c>
      <c r="D52" s="12">
        <v>42684</v>
      </c>
    </row>
    <row r="53" spans="1:5" x14ac:dyDescent="0.3">
      <c r="A53" s="1" t="s">
        <v>37</v>
      </c>
      <c r="B53" s="12">
        <v>7912</v>
      </c>
      <c r="C53" s="12">
        <v>7612</v>
      </c>
      <c r="D53" s="12">
        <v>6643</v>
      </c>
    </row>
    <row r="54" spans="1:5" x14ac:dyDescent="0.3">
      <c r="A54" s="1" t="s">
        <v>38</v>
      </c>
      <c r="B54" s="12">
        <v>9982</v>
      </c>
      <c r="C54" s="12">
        <v>6000</v>
      </c>
      <c r="D54" s="12">
        <v>4996</v>
      </c>
    </row>
    <row r="55" spans="1:5" x14ac:dyDescent="0.3">
      <c r="A55" s="1" t="s">
        <v>39</v>
      </c>
      <c r="B55" s="12">
        <v>11128</v>
      </c>
      <c r="C55" s="12">
        <v>9613</v>
      </c>
      <c r="D55" s="12">
        <v>8773</v>
      </c>
    </row>
    <row r="56" spans="1:5" x14ac:dyDescent="0.3">
      <c r="A56" s="8" t="s">
        <v>40</v>
      </c>
      <c r="B56" s="13">
        <f>+SUM(B51:B55)</f>
        <v>153982</v>
      </c>
      <c r="C56" s="13">
        <f t="shared" ref="C56:D56" si="12">+SUM(C51:C55)</f>
        <v>125481</v>
      </c>
      <c r="D56" s="13">
        <f t="shared" si="12"/>
        <v>105392</v>
      </c>
    </row>
    <row r="57" spans="1:5" x14ac:dyDescent="0.3">
      <c r="A57" t="s">
        <v>51</v>
      </c>
      <c r="B57" s="12"/>
      <c r="C57" s="12"/>
      <c r="D57" s="12"/>
    </row>
    <row r="58" spans="1:5" x14ac:dyDescent="0.3">
      <c r="A58" s="1" t="s">
        <v>37</v>
      </c>
      <c r="B58" s="12"/>
      <c r="C58" s="12"/>
      <c r="D58" s="12"/>
      <c r="E58" s="29">
        <f>(B55+B59)/B48</f>
        <v>0.31207778769967826</v>
      </c>
    </row>
    <row r="59" spans="1:5" x14ac:dyDescent="0.3">
      <c r="A59" s="1" t="s">
        <v>39</v>
      </c>
      <c r="B59" s="12">
        <v>98959</v>
      </c>
      <c r="C59" s="12">
        <v>109106</v>
      </c>
      <c r="D59" s="12">
        <v>98667</v>
      </c>
    </row>
    <row r="60" spans="1:5" x14ac:dyDescent="0.3">
      <c r="A60" s="1" t="s">
        <v>52</v>
      </c>
      <c r="B60" s="12">
        <v>49142</v>
      </c>
      <c r="C60" s="12">
        <v>53325</v>
      </c>
      <c r="D60" s="12">
        <v>54490</v>
      </c>
    </row>
    <row r="61" spans="1:5" x14ac:dyDescent="0.3">
      <c r="A61" s="22" t="s">
        <v>53</v>
      </c>
      <c r="B61" s="21">
        <f>+B59+B60</f>
        <v>148101</v>
      </c>
      <c r="C61" s="21">
        <f t="shared" ref="C61:D61" si="13">+C59+C60</f>
        <v>162431</v>
      </c>
      <c r="D61" s="21">
        <f t="shared" si="13"/>
        <v>153157</v>
      </c>
    </row>
    <row r="62" spans="1:5" x14ac:dyDescent="0.3">
      <c r="A62" s="8" t="s">
        <v>41</v>
      </c>
      <c r="B62" s="13">
        <f>+B56+B61</f>
        <v>302083</v>
      </c>
      <c r="C62" s="13">
        <f t="shared" ref="C62:D62" si="14">+C56+C61</f>
        <v>287912</v>
      </c>
      <c r="D62" s="13">
        <f t="shared" si="14"/>
        <v>258549</v>
      </c>
    </row>
    <row r="63" spans="1:5" x14ac:dyDescent="0.3">
      <c r="B63" s="12"/>
      <c r="C63" s="12"/>
      <c r="D63" s="12"/>
    </row>
    <row r="64" spans="1:5" x14ac:dyDescent="0.3">
      <c r="A64" t="s">
        <v>42</v>
      </c>
      <c r="B64" s="12"/>
      <c r="C64" s="12"/>
      <c r="D64" s="12"/>
    </row>
    <row r="65" spans="1:10" x14ac:dyDescent="0.3">
      <c r="A65" s="1" t="s">
        <v>54</v>
      </c>
      <c r="B65" s="12">
        <v>64849</v>
      </c>
      <c r="C65" s="12">
        <v>57365</v>
      </c>
      <c r="D65" s="12">
        <v>50779</v>
      </c>
      <c r="G65" s="7"/>
    </row>
    <row r="66" spans="1:10" x14ac:dyDescent="0.3">
      <c r="A66" s="1" t="s">
        <v>43</v>
      </c>
      <c r="B66" s="12">
        <v>-3068</v>
      </c>
      <c r="C66" s="12">
        <v>5562</v>
      </c>
      <c r="D66" s="12">
        <v>14966</v>
      </c>
      <c r="G66" s="2">
        <v>4443236</v>
      </c>
    </row>
    <row r="67" spans="1:10" x14ac:dyDescent="0.3">
      <c r="A67" s="1" t="s">
        <v>44</v>
      </c>
      <c r="B67" s="12">
        <v>-11109</v>
      </c>
      <c r="C67" s="12">
        <v>163</v>
      </c>
      <c r="D67" s="12">
        <v>-406</v>
      </c>
      <c r="G67" s="12">
        <v>4754986</v>
      </c>
      <c r="H67" s="31">
        <f>G67*0.5</f>
        <v>2377493</v>
      </c>
    </row>
    <row r="68" spans="1:10" x14ac:dyDescent="0.3">
      <c r="A68" s="8" t="s">
        <v>45</v>
      </c>
      <c r="B68" s="13">
        <f>+SUM(B65:B67)</f>
        <v>50672</v>
      </c>
      <c r="C68" s="13">
        <f t="shared" ref="C68:D68" si="15">+SUM(C65:C67)</f>
        <v>63090</v>
      </c>
      <c r="D68" s="13">
        <f t="shared" si="15"/>
        <v>65339</v>
      </c>
      <c r="G68" s="25">
        <f>G66+G67</f>
        <v>9198222</v>
      </c>
      <c r="H68" s="31">
        <f>G68*0.5</f>
        <v>4599111</v>
      </c>
    </row>
    <row r="69" spans="1:10" ht="15" thickBot="1" x14ac:dyDescent="0.35">
      <c r="A69" s="9" t="s">
        <v>46</v>
      </c>
      <c r="B69" s="14">
        <f>+B68+B62</f>
        <v>352755</v>
      </c>
      <c r="C69" s="14">
        <f t="shared" ref="C69:D69" si="16">+C68+C62</f>
        <v>351002</v>
      </c>
      <c r="D69" s="14">
        <f t="shared" si="16"/>
        <v>323888</v>
      </c>
      <c r="G69" s="7" t="s">
        <v>151</v>
      </c>
      <c r="H69" s="32">
        <f>H67+H68</f>
        <v>6976604</v>
      </c>
      <c r="J69" s="7" t="s">
        <v>150</v>
      </c>
    </row>
    <row r="70" spans="1:10" ht="15" thickTop="1" x14ac:dyDescent="0.3">
      <c r="I70">
        <v>1.0000000000000001E-5</v>
      </c>
      <c r="J70" s="24">
        <f>I70*I71</f>
        <v>47.549860000000002</v>
      </c>
    </row>
    <row r="71" spans="1:10" x14ac:dyDescent="0.3">
      <c r="A71" s="53" t="s">
        <v>55</v>
      </c>
      <c r="B71" s="53"/>
      <c r="C71" s="53"/>
      <c r="D71" s="53"/>
      <c r="I71" s="2">
        <v>4754986</v>
      </c>
    </row>
    <row r="72" spans="1:10" x14ac:dyDescent="0.3">
      <c r="B72" s="52" t="s">
        <v>23</v>
      </c>
      <c r="C72" s="52"/>
      <c r="D72" s="52"/>
    </row>
    <row r="73" spans="1:10" x14ac:dyDescent="0.3">
      <c r="B73" s="7">
        <f>+B33</f>
        <v>2022</v>
      </c>
      <c r="C73" s="7">
        <f t="shared" ref="C73:D73" si="17">+C33</f>
        <v>2021</v>
      </c>
      <c r="D73" s="7">
        <f t="shared" si="17"/>
        <v>2020</v>
      </c>
    </row>
    <row r="75" spans="1:10" x14ac:dyDescent="0.3">
      <c r="A75" s="7" t="s">
        <v>56</v>
      </c>
      <c r="B75" s="15"/>
      <c r="C75" s="15"/>
      <c r="D75" s="15"/>
    </row>
    <row r="76" spans="1:10" x14ac:dyDescent="0.3">
      <c r="A76" t="s">
        <v>57</v>
      </c>
      <c r="B76" s="12">
        <f>+B22</f>
        <v>99803</v>
      </c>
      <c r="C76" s="12">
        <f t="shared" ref="C76:D76" si="18">+C22</f>
        <v>94680</v>
      </c>
      <c r="D76" s="12">
        <f t="shared" si="18"/>
        <v>57411</v>
      </c>
    </row>
    <row r="77" spans="1:10" x14ac:dyDescent="0.3">
      <c r="A77" s="11" t="s">
        <v>18</v>
      </c>
      <c r="B77" s="15"/>
      <c r="C77" s="15"/>
      <c r="D77" s="15"/>
    </row>
    <row r="78" spans="1:10" x14ac:dyDescent="0.3">
      <c r="A78" s="1" t="s">
        <v>58</v>
      </c>
      <c r="B78" s="12"/>
      <c r="C78" s="12"/>
      <c r="D78" s="12"/>
    </row>
    <row r="79" spans="1:10" x14ac:dyDescent="0.3">
      <c r="A79" s="3" t="s">
        <v>59</v>
      </c>
      <c r="B79" s="12">
        <v>11104</v>
      </c>
      <c r="C79" s="12">
        <v>11284</v>
      </c>
      <c r="D79" s="12">
        <v>11056</v>
      </c>
    </row>
    <row r="80" spans="1:10" x14ac:dyDescent="0.3">
      <c r="A80" s="3" t="s">
        <v>83</v>
      </c>
      <c r="B80" s="12">
        <v>9038</v>
      </c>
      <c r="C80" s="12">
        <v>7906</v>
      </c>
      <c r="D80" s="12">
        <v>6829</v>
      </c>
    </row>
    <row r="81" spans="1:4" x14ac:dyDescent="0.3">
      <c r="A81" s="3" t="s">
        <v>60</v>
      </c>
      <c r="B81" s="12">
        <v>895</v>
      </c>
      <c r="C81" s="12">
        <v>-4774</v>
      </c>
      <c r="D81" s="12">
        <v>-215</v>
      </c>
    </row>
    <row r="82" spans="1:4" x14ac:dyDescent="0.3">
      <c r="A82" s="3" t="s">
        <v>61</v>
      </c>
      <c r="B82" s="12">
        <v>111</v>
      </c>
      <c r="C82" s="12">
        <v>-147</v>
      </c>
      <c r="D82" s="12">
        <v>-97</v>
      </c>
    </row>
    <row r="83" spans="1:4" x14ac:dyDescent="0.3">
      <c r="A83" t="s">
        <v>62</v>
      </c>
      <c r="B83" s="12"/>
      <c r="C83" s="12"/>
      <c r="D83" s="12"/>
    </row>
    <row r="84" spans="1:4" x14ac:dyDescent="0.3">
      <c r="A84" s="1" t="s">
        <v>28</v>
      </c>
      <c r="B84" s="12">
        <v>-1823</v>
      </c>
      <c r="C84" s="12">
        <v>-10125</v>
      </c>
      <c r="D84" s="12">
        <v>6917</v>
      </c>
    </row>
    <row r="85" spans="1:4" x14ac:dyDescent="0.3">
      <c r="A85" s="1" t="s">
        <v>29</v>
      </c>
      <c r="B85" s="12">
        <v>1484</v>
      </c>
      <c r="C85" s="12">
        <v>-2642</v>
      </c>
      <c r="D85" s="12">
        <v>-127</v>
      </c>
    </row>
    <row r="86" spans="1:4" x14ac:dyDescent="0.3">
      <c r="A86" s="1" t="s">
        <v>47</v>
      </c>
      <c r="B86" s="12">
        <v>-7520</v>
      </c>
      <c r="C86" s="12">
        <v>-3903</v>
      </c>
      <c r="D86" s="12">
        <v>1553</v>
      </c>
    </row>
    <row r="87" spans="1:4" x14ac:dyDescent="0.3">
      <c r="A87" s="1" t="s">
        <v>84</v>
      </c>
      <c r="B87" s="12">
        <v>-6499</v>
      </c>
      <c r="C87" s="12">
        <v>-8042</v>
      </c>
      <c r="D87" s="12">
        <v>-9588</v>
      </c>
    </row>
    <row r="88" spans="1:4" x14ac:dyDescent="0.3">
      <c r="A88" s="1" t="s">
        <v>35</v>
      </c>
      <c r="B88" s="12">
        <v>9448</v>
      </c>
      <c r="C88" s="12">
        <v>12326</v>
      </c>
      <c r="D88" s="12">
        <v>-4062</v>
      </c>
    </row>
    <row r="89" spans="1:4" x14ac:dyDescent="0.3">
      <c r="A89" s="1" t="s">
        <v>37</v>
      </c>
      <c r="B89" s="12">
        <v>478</v>
      </c>
      <c r="C89" s="12">
        <v>1676</v>
      </c>
      <c r="D89" s="12">
        <v>2081</v>
      </c>
    </row>
    <row r="90" spans="1:4" x14ac:dyDescent="0.3">
      <c r="A90" s="1" t="s">
        <v>85</v>
      </c>
      <c r="B90" s="12">
        <v>5632</v>
      </c>
      <c r="C90" s="12">
        <v>5799</v>
      </c>
      <c r="D90" s="12">
        <v>8916</v>
      </c>
    </row>
    <row r="91" spans="1:4" x14ac:dyDescent="0.3">
      <c r="A91" s="8" t="s">
        <v>63</v>
      </c>
      <c r="B91" s="13">
        <f>+SUM(B76:B90)</f>
        <v>122151</v>
      </c>
      <c r="C91" s="13">
        <f t="shared" ref="C91:D91" si="19">+SUM(C76:C90)</f>
        <v>104038</v>
      </c>
      <c r="D91" s="13">
        <f t="shared" si="19"/>
        <v>80674</v>
      </c>
    </row>
    <row r="92" spans="1:4" x14ac:dyDescent="0.3">
      <c r="A92" s="7" t="s">
        <v>64</v>
      </c>
      <c r="B92" s="12"/>
      <c r="C92" s="12"/>
      <c r="D92" s="12"/>
    </row>
    <row r="93" spans="1:4" x14ac:dyDescent="0.3">
      <c r="A93" s="1" t="s">
        <v>65</v>
      </c>
      <c r="B93" s="12">
        <v>-76923</v>
      </c>
      <c r="C93" s="12">
        <v>-109558</v>
      </c>
      <c r="D93" s="12">
        <v>-114938</v>
      </c>
    </row>
    <row r="94" spans="1:4" x14ac:dyDescent="0.3">
      <c r="A94" s="1" t="s">
        <v>66</v>
      </c>
      <c r="B94" s="12">
        <v>29917</v>
      </c>
      <c r="C94" s="12">
        <v>59023</v>
      </c>
      <c r="D94" s="12">
        <v>69918</v>
      </c>
    </row>
    <row r="95" spans="1:4" x14ac:dyDescent="0.3">
      <c r="A95" s="1" t="s">
        <v>67</v>
      </c>
      <c r="B95" s="12">
        <v>37446</v>
      </c>
      <c r="C95" s="12">
        <v>47460</v>
      </c>
      <c r="D95" s="12">
        <v>50473</v>
      </c>
    </row>
    <row r="96" spans="1:4" x14ac:dyDescent="0.3">
      <c r="A96" s="1" t="s">
        <v>68</v>
      </c>
      <c r="B96" s="12">
        <v>-10708</v>
      </c>
      <c r="C96" s="12">
        <v>-11085</v>
      </c>
      <c r="D96" s="12">
        <v>-7309</v>
      </c>
    </row>
    <row r="97" spans="1:4" x14ac:dyDescent="0.3">
      <c r="A97" s="1" t="s">
        <v>69</v>
      </c>
      <c r="B97" s="12">
        <v>-306</v>
      </c>
      <c r="C97" s="12">
        <v>-33</v>
      </c>
      <c r="D97" s="12">
        <v>-1524</v>
      </c>
    </row>
    <row r="98" spans="1:4" x14ac:dyDescent="0.3">
      <c r="A98" s="1" t="s">
        <v>61</v>
      </c>
      <c r="B98" s="12">
        <v>-1780</v>
      </c>
      <c r="C98" s="12">
        <v>-352</v>
      </c>
      <c r="D98" s="12">
        <v>-909</v>
      </c>
    </row>
    <row r="99" spans="1:4" x14ac:dyDescent="0.3">
      <c r="A99" s="8" t="s">
        <v>70</v>
      </c>
      <c r="B99" s="13">
        <f>+SUM(B93:B98)</f>
        <v>-22354</v>
      </c>
      <c r="C99" s="13">
        <f t="shared" ref="C99:D99" si="20">+SUM(C93:C98)</f>
        <v>-14545</v>
      </c>
      <c r="D99" s="13">
        <f t="shared" si="20"/>
        <v>-4289</v>
      </c>
    </row>
    <row r="100" spans="1:4" x14ac:dyDescent="0.3">
      <c r="A100" s="7" t="s">
        <v>71</v>
      </c>
      <c r="B100" s="12"/>
      <c r="C100" s="12"/>
      <c r="D100" s="12"/>
    </row>
    <row r="101" spans="1:4" x14ac:dyDescent="0.3">
      <c r="A101" s="1" t="s">
        <v>86</v>
      </c>
      <c r="B101" s="12">
        <v>-6223</v>
      </c>
      <c r="C101" s="12">
        <v>-6556</v>
      </c>
      <c r="D101" s="12">
        <v>-3634</v>
      </c>
    </row>
    <row r="102" spans="1:4" x14ac:dyDescent="0.3">
      <c r="A102" s="1" t="s">
        <v>72</v>
      </c>
      <c r="B102" s="12">
        <v>-14841</v>
      </c>
      <c r="C102" s="12">
        <v>-14467</v>
      </c>
      <c r="D102" s="12">
        <v>-14081</v>
      </c>
    </row>
    <row r="103" spans="1:4" x14ac:dyDescent="0.3">
      <c r="A103" s="1" t="s">
        <v>73</v>
      </c>
      <c r="B103" s="12">
        <v>-89402</v>
      </c>
      <c r="C103" s="12">
        <v>-85971</v>
      </c>
      <c r="D103" s="12">
        <v>-72358</v>
      </c>
    </row>
    <row r="104" spans="1:4" x14ac:dyDescent="0.3">
      <c r="A104" s="1" t="s">
        <v>74</v>
      </c>
      <c r="B104" s="12">
        <v>5465</v>
      </c>
      <c r="C104" s="12">
        <v>20393</v>
      </c>
      <c r="D104" s="12">
        <v>16091</v>
      </c>
    </row>
    <row r="105" spans="1:4" x14ac:dyDescent="0.3">
      <c r="A105" s="1" t="s">
        <v>75</v>
      </c>
      <c r="B105" s="12">
        <v>-9543</v>
      </c>
      <c r="C105" s="12">
        <v>-8750</v>
      </c>
      <c r="D105" s="12">
        <v>-12629</v>
      </c>
    </row>
    <row r="106" spans="1:4" x14ac:dyDescent="0.3">
      <c r="A106" s="1" t="s">
        <v>76</v>
      </c>
      <c r="B106" s="12">
        <v>3955</v>
      </c>
      <c r="C106" s="12">
        <v>1022</v>
      </c>
      <c r="D106" s="12">
        <v>-963</v>
      </c>
    </row>
    <row r="107" spans="1:4" x14ac:dyDescent="0.3">
      <c r="A107" s="1" t="s">
        <v>61</v>
      </c>
      <c r="B107" s="12">
        <v>-160</v>
      </c>
      <c r="C107" s="12">
        <v>976</v>
      </c>
      <c r="D107" s="12">
        <v>754</v>
      </c>
    </row>
    <row r="108" spans="1:4" x14ac:dyDescent="0.3">
      <c r="A108" s="8" t="s">
        <v>77</v>
      </c>
      <c r="B108" s="13">
        <f>+SUM(B101:B107)</f>
        <v>-110749</v>
      </c>
      <c r="C108" s="13">
        <f t="shared" ref="C108:D108" si="21">+SUM(C101:C107)</f>
        <v>-93353</v>
      </c>
      <c r="D108" s="13">
        <f t="shared" si="21"/>
        <v>-86820</v>
      </c>
    </row>
    <row r="109" spans="1:4" x14ac:dyDescent="0.3">
      <c r="A109" s="8" t="s">
        <v>78</v>
      </c>
      <c r="B109" s="13">
        <f>+B91+B99+B108</f>
        <v>-10952</v>
      </c>
      <c r="C109" s="13">
        <f t="shared" ref="C109:D109" si="22">+C91+C99+C108</f>
        <v>-3860</v>
      </c>
      <c r="D109" s="13">
        <f t="shared" si="22"/>
        <v>-10435</v>
      </c>
    </row>
    <row r="110" spans="1:4" ht="15" thickBot="1" x14ac:dyDescent="0.35">
      <c r="A110" s="9" t="s">
        <v>79</v>
      </c>
      <c r="B110" s="14">
        <v>24977</v>
      </c>
      <c r="C110" s="14">
        <v>35929</v>
      </c>
      <c r="D110" s="14">
        <v>39789</v>
      </c>
    </row>
    <row r="111" spans="1:4" ht="15" thickTop="1" x14ac:dyDescent="0.3">
      <c r="B111" s="12"/>
      <c r="C111" s="12"/>
      <c r="D111" s="12"/>
    </row>
    <row r="112" spans="1:4" x14ac:dyDescent="0.3">
      <c r="A112" t="s">
        <v>80</v>
      </c>
      <c r="B112" s="12"/>
      <c r="C112" s="12"/>
      <c r="D112" s="12"/>
    </row>
    <row r="113" spans="1:4" x14ac:dyDescent="0.3">
      <c r="A113" t="s">
        <v>81</v>
      </c>
      <c r="B113" s="12">
        <v>19573</v>
      </c>
      <c r="C113" s="12">
        <v>25385</v>
      </c>
      <c r="D113" s="12">
        <v>9501</v>
      </c>
    </row>
    <row r="114" spans="1:4" x14ac:dyDescent="0.3">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7"/>
  <sheetViews>
    <sheetView tabSelected="1" topLeftCell="A39" workbookViewId="0">
      <selection activeCell="C57" sqref="C57"/>
    </sheetView>
  </sheetViews>
  <sheetFormatPr defaultRowHeight="14.4" x14ac:dyDescent="0.3"/>
  <cols>
    <col min="1" max="1" width="4.6640625" customWidth="1"/>
    <col min="2" max="2" width="47" customWidth="1"/>
    <col min="3" max="3" width="23.5546875" customWidth="1"/>
    <col min="4" max="4" width="12.77734375" customWidth="1"/>
    <col min="5" max="5" width="15.5546875" customWidth="1"/>
    <col min="7" max="7" width="120.77734375" customWidth="1"/>
    <col min="8" max="8" width="154.21875" customWidth="1"/>
    <col min="9" max="10" width="8.88671875" hidden="1" customWidth="1"/>
    <col min="11" max="11" width="15" hidden="1" customWidth="1"/>
    <col min="12" max="12" width="12.5546875" hidden="1" customWidth="1"/>
    <col min="13" max="14" width="8.88671875" hidden="1" customWidth="1"/>
    <col min="15" max="15" width="38" customWidth="1"/>
    <col min="16" max="16" width="79.109375" customWidth="1"/>
  </cols>
  <sheetData>
    <row r="1" spans="1:15" ht="60" customHeight="1" x14ac:dyDescent="0.5">
      <c r="A1" s="6"/>
      <c r="B1" s="20" t="s">
        <v>0</v>
      </c>
      <c r="C1" s="19"/>
      <c r="D1" s="19"/>
      <c r="E1" s="19"/>
      <c r="F1" s="19"/>
      <c r="G1" s="44" t="s">
        <v>177</v>
      </c>
      <c r="H1" s="44" t="s">
        <v>169</v>
      </c>
      <c r="I1" s="19"/>
      <c r="J1" s="19"/>
      <c r="K1" s="19"/>
      <c r="L1" s="45" t="s">
        <v>172</v>
      </c>
      <c r="O1" s="47" t="s">
        <v>172</v>
      </c>
    </row>
    <row r="2" spans="1:15" x14ac:dyDescent="0.3">
      <c r="C2" s="52" t="s">
        <v>23</v>
      </c>
      <c r="D2" s="52"/>
      <c r="E2" s="52"/>
    </row>
    <row r="3" spans="1:15" x14ac:dyDescent="0.3">
      <c r="C3" s="7">
        <f>+'Financial Statements'!B4</f>
        <v>2022</v>
      </c>
      <c r="D3" s="7">
        <f>+'Financial Statements'!C4</f>
        <v>2021</v>
      </c>
      <c r="E3" s="7">
        <f>+'Financial Statements'!D4</f>
        <v>2020</v>
      </c>
    </row>
    <row r="4" spans="1:15" x14ac:dyDescent="0.3">
      <c r="A4" s="18">
        <v>1</v>
      </c>
      <c r="B4" s="7" t="s">
        <v>99</v>
      </c>
    </row>
    <row r="5" spans="1:15" x14ac:dyDescent="0.3">
      <c r="A5" s="18">
        <f>+A4+0.1</f>
        <v>1.1000000000000001</v>
      </c>
      <c r="B5" s="1" t="s">
        <v>100</v>
      </c>
      <c r="C5" s="24">
        <f>SUM('Financial Statements'!B42)/SUM('Financial Statements'!B56)</f>
        <v>0.87935602862672257</v>
      </c>
      <c r="D5" s="24">
        <f>SUM('Financial Statements'!C42)/SUM('Financial Statements'!C56)</f>
        <v>1.0745531195957954</v>
      </c>
      <c r="E5" s="24">
        <f>SUM('Financial Statements'!D42)/SUM('Financial Statements'!D56)</f>
        <v>1.3636044481554577</v>
      </c>
    </row>
    <row r="6" spans="1:15" x14ac:dyDescent="0.3">
      <c r="A6" s="18">
        <f t="shared" ref="A6:A13" si="0">+A5+0.1</f>
        <v>1.2000000000000002</v>
      </c>
      <c r="B6" s="1" t="s">
        <v>101</v>
      </c>
      <c r="C6" s="24">
        <f>SUM(('Financial Statements'!B42)-('Financial Statements'!B39))/SUM('Financial Statements'!B56)</f>
        <v>0.84723539114961488</v>
      </c>
      <c r="D6" s="24">
        <f>SUM(('Financial Statements'!C42)-('Financial Statements'!C39))/SUM('Financial Statements'!C56)</f>
        <v>1.0221149018576519</v>
      </c>
      <c r="E6" s="24">
        <f>SUM(('Financial Statements'!D42)-('Financial Statements'!D39))/SUM('Financial Statements'!D56)</f>
        <v>1.325072111735236</v>
      </c>
    </row>
    <row r="7" spans="1:15" x14ac:dyDescent="0.3">
      <c r="A7" s="18">
        <f t="shared" si="0"/>
        <v>1.3000000000000003</v>
      </c>
      <c r="B7" s="1" t="s">
        <v>102</v>
      </c>
      <c r="C7" s="23">
        <f>SUM(('Financial Statements'!B36:B37))/SUM('Financial Statements'!B56)</f>
        <v>0.31369900377966253</v>
      </c>
      <c r="D7" s="24">
        <f>SUM(('Financial Statements'!C36:C37))/SUM('Financial Statements'!C56)</f>
        <v>0.49919111259872012</v>
      </c>
      <c r="E7" s="23">
        <f>SUM(('Financial Statements'!D36:D37))/SUM('Financial Statements'!D56)</f>
        <v>0.86290230757552755</v>
      </c>
    </row>
    <row r="8" spans="1:15" x14ac:dyDescent="0.3">
      <c r="A8" s="18">
        <f t="shared" si="0"/>
        <v>1.4000000000000004</v>
      </c>
      <c r="B8" s="1" t="s">
        <v>103</v>
      </c>
      <c r="C8" s="27">
        <f>'Financial Statements'!B48/(('Financial Statements'!B17-'Financial Statements'!B79)/365)</f>
        <v>3199.611714420616</v>
      </c>
      <c r="D8" s="27">
        <f>'Financial Statements'!C48/(('Financial Statements'!C17-'Financial Statements'!C79)/365)</f>
        <v>3929.5687513419011</v>
      </c>
      <c r="E8" s="27">
        <f>'Financial Statements'!D48/(('Financial Statements'!D17-'Financial Statements'!D79)/365)</f>
        <v>4281.439953643343</v>
      </c>
      <c r="H8" t="s">
        <v>157</v>
      </c>
      <c r="O8" s="51" t="s">
        <v>176</v>
      </c>
    </row>
    <row r="9" spans="1:15" x14ac:dyDescent="0.3">
      <c r="A9" s="18">
        <f t="shared" si="0"/>
        <v>1.5000000000000004</v>
      </c>
      <c r="B9" s="1" t="s">
        <v>104</v>
      </c>
      <c r="C9" s="27">
        <f>365*('Financial Statements'!B39/'Financial Statements'!B12)</f>
        <v>8.0756980666171607</v>
      </c>
      <c r="D9" s="27">
        <f>365*('Financial Statements'!C39/'Financial Statements'!C12)</f>
        <v>11.27659274770989</v>
      </c>
      <c r="E9" s="27">
        <f>365*('Financial Statements'!D39/'Financial Statements'!D12)</f>
        <v>8.7418833562358831</v>
      </c>
      <c r="G9" s="10" t="s">
        <v>178</v>
      </c>
      <c r="H9" t="s">
        <v>158</v>
      </c>
      <c r="L9" s="46" t="s">
        <v>173</v>
      </c>
      <c r="O9" s="51" t="s">
        <v>176</v>
      </c>
    </row>
    <row r="10" spans="1:15" x14ac:dyDescent="0.3">
      <c r="A10" s="18">
        <f t="shared" si="0"/>
        <v>1.6000000000000005</v>
      </c>
      <c r="B10" s="1" t="s">
        <v>105</v>
      </c>
      <c r="C10" s="27">
        <f>('Financial Statements'!B51/'Financial Statements'!B12)*365</f>
        <v>104.68527730310539</v>
      </c>
      <c r="D10" s="27">
        <f>('Financial Statements'!C51/'Financial Statements'!C12)*365</f>
        <v>93.851071222315596</v>
      </c>
      <c r="E10" s="27">
        <f>('Financial Statements'!D51/'Financial Statements'!D12)*365</f>
        <v>91.048189715674198</v>
      </c>
    </row>
    <row r="11" spans="1:15" x14ac:dyDescent="0.3">
      <c r="A11" s="18">
        <f t="shared" si="0"/>
        <v>1.7000000000000006</v>
      </c>
      <c r="B11" s="1" t="s">
        <v>106</v>
      </c>
      <c r="C11" s="18">
        <f>('Financial Statements'!B38/'Financial Statements'!B8)*365</f>
        <v>26.087825363656648</v>
      </c>
      <c r="D11" s="18">
        <f>('Financial Statements'!C38/'Financial Statements'!C8)*365</f>
        <v>26.219311841713207</v>
      </c>
      <c r="E11" s="18">
        <f>('Financial Statements'!D38/'Financial Statements'!D8)*365</f>
        <v>21.433437152796749</v>
      </c>
    </row>
    <row r="12" spans="1:15" x14ac:dyDescent="0.3">
      <c r="A12" s="18">
        <f t="shared" si="0"/>
        <v>1.8000000000000007</v>
      </c>
      <c r="B12" s="1" t="s">
        <v>107</v>
      </c>
      <c r="C12" s="24">
        <f>(C9+C11)-C10</f>
        <v>-70.521753872831582</v>
      </c>
      <c r="D12" s="24">
        <f t="shared" ref="D12:E12" si="1">(D9+D11)-D10</f>
        <v>-56.355166632892498</v>
      </c>
      <c r="E12" s="24">
        <f t="shared" si="1"/>
        <v>-60.872869206641568</v>
      </c>
      <c r="H12" t="s">
        <v>159</v>
      </c>
      <c r="L12" s="46" t="s">
        <v>173</v>
      </c>
      <c r="O12" s="51" t="s">
        <v>176</v>
      </c>
    </row>
    <row r="13" spans="1:15" x14ac:dyDescent="0.3">
      <c r="A13" s="18">
        <f t="shared" si="0"/>
        <v>1.9000000000000008</v>
      </c>
      <c r="B13" s="1" t="s">
        <v>108</v>
      </c>
      <c r="C13" s="28">
        <f>C14/('Financial Statements'!B8)</f>
        <v>-4.711052727678481E-2</v>
      </c>
      <c r="D13" s="28">
        <f>D14/('Financial Statements'!C8)</f>
        <v>2.557289573748623E-2</v>
      </c>
      <c r="E13" s="28">
        <f>E14/('Financial Statements'!D8)</f>
        <v>0.13959528623208203</v>
      </c>
    </row>
    <row r="14" spans="1:15" x14ac:dyDescent="0.3">
      <c r="A14" s="18"/>
      <c r="B14" s="3" t="s">
        <v>109</v>
      </c>
      <c r="C14">
        <f>('Financial Statements'!B42)-('Financial Statements'!B56)</f>
        <v>-18577</v>
      </c>
      <c r="D14">
        <f>('Financial Statements'!C42)-('Financial Statements'!C56)</f>
        <v>9355</v>
      </c>
      <c r="E14">
        <f>('Financial Statements'!D42)-('Financial Statements'!D56)</f>
        <v>38321</v>
      </c>
    </row>
    <row r="15" spans="1:15" x14ac:dyDescent="0.3">
      <c r="A15" s="18"/>
    </row>
    <row r="16" spans="1:15" x14ac:dyDescent="0.3">
      <c r="A16" s="18">
        <f>+A4+1</f>
        <v>2</v>
      </c>
      <c r="B16" s="17" t="s">
        <v>110</v>
      </c>
      <c r="C16" s="29"/>
    </row>
    <row r="17" spans="1:15" x14ac:dyDescent="0.3">
      <c r="A17" s="18">
        <f>+A16+0.1</f>
        <v>2.1</v>
      </c>
      <c r="B17" s="1" t="s">
        <v>9</v>
      </c>
      <c r="C17" s="28">
        <f>('Financial Statements'!B8-'Financial Statements'!B12)/('Financial Statements'!B8)</f>
        <v>0.43309630561360085</v>
      </c>
      <c r="D17" s="30">
        <f>('Financial Statements'!C8-'Financial Statements'!C12)/('Financial Statements'!C8)</f>
        <v>0.41779359625167778</v>
      </c>
      <c r="E17" s="30">
        <f>('Financial Statements'!D8-'Financial Statements'!D12)/('Financial Statements'!D8)</f>
        <v>0.38233247727810865</v>
      </c>
    </row>
    <row r="18" spans="1:15" x14ac:dyDescent="0.3">
      <c r="A18" s="18">
        <f>+A17+0.1</f>
        <v>2.2000000000000002</v>
      </c>
      <c r="B18" s="1" t="s">
        <v>111</v>
      </c>
      <c r="C18" s="28">
        <f>C19/('Financial Statements'!B8)</f>
        <v>0.27472814509748228</v>
      </c>
      <c r="D18" s="28">
        <f>D19/('Financial Statements'!C8)</f>
        <v>0.2669777511706673</v>
      </c>
      <c r="E18" s="28">
        <f>E19/('Financial Statements'!D8)</f>
        <v>0.20119847731453655</v>
      </c>
    </row>
    <row r="19" spans="1:15" x14ac:dyDescent="0.3">
      <c r="A19" s="18"/>
      <c r="B19" s="3" t="s">
        <v>112</v>
      </c>
      <c r="C19">
        <f>'Financial Statements'!B18-'Financial Statements'!B79</f>
        <v>108333</v>
      </c>
      <c r="D19">
        <f>'Financial Statements'!C18-'Financial Statements'!C79</f>
        <v>97665</v>
      </c>
      <c r="E19">
        <f>'Financial Statements'!D18-'Financial Statements'!D79</f>
        <v>55232</v>
      </c>
      <c r="H19" t="s">
        <v>160</v>
      </c>
      <c r="L19" s="46" t="s">
        <v>173</v>
      </c>
      <c r="O19" s="51" t="s">
        <v>176</v>
      </c>
    </row>
    <row r="20" spans="1:15" x14ac:dyDescent="0.3">
      <c r="A20" s="18">
        <f>+A18+0.1</f>
        <v>2.3000000000000003</v>
      </c>
      <c r="B20" s="1" t="s">
        <v>113</v>
      </c>
      <c r="C20" s="30">
        <f>C21/'Financial Statements'!B8</f>
        <v>0.30288744395528594</v>
      </c>
      <c r="D20" s="30">
        <f>D21/'Financial Statements'!C8</f>
        <v>0.29782377527561593</v>
      </c>
      <c r="E20" s="30">
        <f>E21/'Financial Statements'!D8</f>
        <v>0.24147314354406862</v>
      </c>
    </row>
    <row r="21" spans="1:15" x14ac:dyDescent="0.3">
      <c r="A21" s="18"/>
      <c r="B21" s="3" t="s">
        <v>114</v>
      </c>
      <c r="C21">
        <f>('Financial Statements'!B13)-('Financial Statements'!B17)</f>
        <v>119437</v>
      </c>
      <c r="D21">
        <f>('Financial Statements'!C13)-('Financial Statements'!C17)</f>
        <v>108949</v>
      </c>
      <c r="E21">
        <f>('Financial Statements'!D13)-('Financial Statements'!D17)</f>
        <v>66288</v>
      </c>
    </row>
    <row r="22" spans="1:15" x14ac:dyDescent="0.3">
      <c r="A22" s="18">
        <f>+A20+0.1</f>
        <v>2.4000000000000004</v>
      </c>
      <c r="B22" s="1" t="s">
        <v>115</v>
      </c>
      <c r="C22" s="30">
        <f>'Financial Statements'!B22/'Financial Statements'!B8</f>
        <v>0.25309640705199732</v>
      </c>
      <c r="D22" s="30">
        <f>'Financial Statements'!C22/'Financial Statements'!C8</f>
        <v>0.25881793355694238</v>
      </c>
      <c r="E22" s="30">
        <f>'Financial Statements'!D22/'Financial Statements'!D8</f>
        <v>0.20913611278072236</v>
      </c>
    </row>
    <row r="23" spans="1:15" x14ac:dyDescent="0.3">
      <c r="A23" s="18"/>
      <c r="D23" s="28"/>
    </row>
    <row r="24" spans="1:15" x14ac:dyDescent="0.3">
      <c r="A24" s="18">
        <f>+A16+1</f>
        <v>3</v>
      </c>
      <c r="B24" s="7" t="s">
        <v>116</v>
      </c>
    </row>
    <row r="25" spans="1:15" x14ac:dyDescent="0.3">
      <c r="A25" s="18">
        <f>+A24+0.1</f>
        <v>3.1</v>
      </c>
      <c r="B25" s="1" t="s">
        <v>117</v>
      </c>
      <c r="C25" s="24">
        <f>('Financial Statements'!B59)/('Financial Statements'!B68)</f>
        <v>1.9529325860435744</v>
      </c>
      <c r="D25" s="24">
        <f>('Financial Statements'!C59)/('Financial Statements'!C68)</f>
        <v>1.729370740212395</v>
      </c>
      <c r="E25" s="24">
        <f>('Financial Statements'!D59)/('Financial Statements'!D68)</f>
        <v>1.5100782075024104</v>
      </c>
      <c r="G25" s="10" t="s">
        <v>179</v>
      </c>
      <c r="H25" t="s">
        <v>162</v>
      </c>
      <c r="O25" s="51" t="s">
        <v>176</v>
      </c>
    </row>
    <row r="26" spans="1:15" x14ac:dyDescent="0.3">
      <c r="A26" s="18">
        <f t="shared" ref="A26:A30" si="2">+A25+0.1</f>
        <v>3.2</v>
      </c>
      <c r="B26" s="1" t="s">
        <v>118</v>
      </c>
      <c r="C26" s="30">
        <f>('Financial Statements'!B55+'Financial Statements'!B59)/('Financial Statements'!B48)</f>
        <v>0.31207778769967826</v>
      </c>
      <c r="D26" s="30">
        <f>('Financial Statements'!C55+'Financial Statements'!C59)/('Financial Statements'!C48)</f>
        <v>0.33822884200090025</v>
      </c>
      <c r="E26" s="30">
        <f>('Financial Statements'!D55+'Financial Statements'!D59)/('Financial Statements'!D48)</f>
        <v>0.33171960677765155</v>
      </c>
      <c r="H26" t="s">
        <v>161</v>
      </c>
      <c r="O26" s="51" t="s">
        <v>176</v>
      </c>
    </row>
    <row r="27" spans="1:15" x14ac:dyDescent="0.3">
      <c r="A27" s="18">
        <f t="shared" si="2"/>
        <v>3.3000000000000003</v>
      </c>
      <c r="B27" s="1" t="s">
        <v>119</v>
      </c>
      <c r="C27" s="24">
        <f>('Financial Statements'!B55+'Financial Statements'!B59)/(('Financial Statements'!B55+'Financial Statements'!B59)+'Financial Statements'!B68)</f>
        <v>0.68479525252085416</v>
      </c>
      <c r="D27" s="24">
        <f>('Financial Statements'!C55+'Financial Statements'!C59)/(('Financial Statements'!C55+'Financial Statements'!C59)+'Financial Statements'!C68)</f>
        <v>0.65298747586753136</v>
      </c>
      <c r="E27" s="24">
        <f>('Financial Statements'!D55+'Financial Statements'!D59)/(('Financial Statements'!D55+'Financial Statements'!D59)+'Financial Statements'!D68)</f>
        <v>0.62183482946422886</v>
      </c>
      <c r="H27" t="s">
        <v>163</v>
      </c>
      <c r="O27" s="51" t="s">
        <v>176</v>
      </c>
    </row>
    <row r="28" spans="1:15" x14ac:dyDescent="0.3">
      <c r="A28" s="18">
        <f t="shared" si="2"/>
        <v>3.4000000000000004</v>
      </c>
      <c r="B28" s="1" t="s">
        <v>120</v>
      </c>
      <c r="C28" s="18">
        <f>C21/'Financial Statements'!B114</f>
        <v>41.68830715532286</v>
      </c>
      <c r="D28" s="18">
        <f>D21/'Financial Statements'!C114</f>
        <v>40.546706363974693</v>
      </c>
      <c r="E28" s="18">
        <f>E21/'Financial Statements'!D114</f>
        <v>22.081279147235175</v>
      </c>
    </row>
    <row r="29" spans="1:15" x14ac:dyDescent="0.3">
      <c r="A29" s="18">
        <f t="shared" si="2"/>
        <v>3.5000000000000004</v>
      </c>
      <c r="B29" s="1" t="s">
        <v>121</v>
      </c>
      <c r="C29" s="23">
        <f>'Financial Statements'!B22/('Financial Statements'!B105)</f>
        <v>-10.458241643089176</v>
      </c>
      <c r="D29" s="23">
        <f>'Financial Statements'!C22/('Financial Statements'!C105)</f>
        <v>-10.820571428571428</v>
      </c>
      <c r="E29" s="23">
        <f>'Financial Statements'!D22/('Financial Statements'!D105)</f>
        <v>-4.5459656346504076</v>
      </c>
      <c r="G29" s="10" t="s">
        <v>180</v>
      </c>
      <c r="H29" t="s">
        <v>164</v>
      </c>
      <c r="O29" s="51" t="s">
        <v>176</v>
      </c>
    </row>
    <row r="30" spans="1:15" x14ac:dyDescent="0.3">
      <c r="A30" s="18">
        <f t="shared" si="2"/>
        <v>3.6000000000000005</v>
      </c>
      <c r="B30" s="1" t="s">
        <v>122</v>
      </c>
      <c r="C30" s="24">
        <f>C31/'Financial Statements'!J70</f>
        <v>2677.4001017037695</v>
      </c>
      <c r="D30" s="24">
        <f>D31/'Financial Statements'!J70</f>
        <v>2616.1591222350603</v>
      </c>
      <c r="E30" s="24">
        <f>E31/'Financial Statements'!J70</f>
        <v>2002.9711969709269</v>
      </c>
    </row>
    <row r="31" spans="1:15" x14ac:dyDescent="0.3">
      <c r="A31" s="18"/>
      <c r="B31" s="3" t="s">
        <v>123</v>
      </c>
      <c r="C31">
        <f>'Financial Statements'!B91+'Financial Statements'!B97+'Financial Statements'!B104</f>
        <v>127310</v>
      </c>
      <c r="D31">
        <f>'Financial Statements'!C91+'Financial Statements'!C97+'Financial Statements'!C104</f>
        <v>124398</v>
      </c>
      <c r="E31">
        <f>'Financial Statements'!D91+'Financial Statements'!D97+'Financial Statements'!D104</f>
        <v>95241</v>
      </c>
      <c r="H31" t="s">
        <v>165</v>
      </c>
      <c r="O31" s="51" t="s">
        <v>176</v>
      </c>
    </row>
    <row r="32" spans="1:15" x14ac:dyDescent="0.3">
      <c r="A32" s="18"/>
    </row>
    <row r="33" spans="1:17" x14ac:dyDescent="0.3">
      <c r="A33" s="18">
        <f>+A24+1</f>
        <v>4</v>
      </c>
      <c r="B33" s="17" t="s">
        <v>124</v>
      </c>
    </row>
    <row r="34" spans="1:17" x14ac:dyDescent="0.3">
      <c r="A34" s="18">
        <f>+A33+0.1</f>
        <v>4.0999999999999996</v>
      </c>
      <c r="B34" s="1" t="s">
        <v>125</v>
      </c>
      <c r="C34" s="24">
        <f>'Financial Statements'!B8/('Financial Statements'!B48)</f>
        <v>1.1178523337727317</v>
      </c>
      <c r="D34" s="24">
        <f>'Financial Statements'!C8/('Financial Statements'!C48)</f>
        <v>1.0422077367080529</v>
      </c>
      <c r="E34" s="24">
        <f>'Financial Statements'!D8/('Financial Statements'!D48)</f>
        <v>0.84756150274168851</v>
      </c>
    </row>
    <row r="35" spans="1:17" x14ac:dyDescent="0.3">
      <c r="A35" s="18">
        <f t="shared" ref="A35:A37" si="3">+A34+0.1</f>
        <v>4.1999999999999993</v>
      </c>
      <c r="B35" s="1" t="s">
        <v>126</v>
      </c>
      <c r="C35" s="24">
        <f>'Financial Statements'!B8/('Financial Statements'!B47)</f>
        <v>1.8142535081665516</v>
      </c>
      <c r="D35" s="24">
        <f>'Financial Statements'!C8/('Financial Statements'!C47)</f>
        <v>1.6922966608994938</v>
      </c>
      <c r="E35" s="24">
        <f>'Financial Statements'!D8/('Financial Statements'!D47)</f>
        <v>1.5236020535590398</v>
      </c>
    </row>
    <row r="36" spans="1:17" x14ac:dyDescent="0.3">
      <c r="A36" s="18">
        <f t="shared" si="3"/>
        <v>4.2999999999999989</v>
      </c>
      <c r="B36" s="1" t="s">
        <v>127</v>
      </c>
      <c r="C36" s="24">
        <f>'Financial Statements'!B12/'Financial Statements'!B39</f>
        <v>45.197331176708452</v>
      </c>
      <c r="D36" s="24">
        <f>'Financial Statements'!C12/'Financial Statements'!C39</f>
        <v>32.367933130699086</v>
      </c>
      <c r="E36" s="24">
        <f>'Financial Statements'!D12/'Financial Statements'!D39</f>
        <v>41.753016498399411</v>
      </c>
      <c r="H36" t="s">
        <v>166</v>
      </c>
      <c r="O36" s="51" t="s">
        <v>176</v>
      </c>
    </row>
    <row r="37" spans="1:17" x14ac:dyDescent="0.3">
      <c r="A37" s="18">
        <f t="shared" si="3"/>
        <v>4.3999999999999986</v>
      </c>
      <c r="B37" s="1" t="s">
        <v>128</v>
      </c>
      <c r="C37" s="30">
        <f>'Financial Statements'!B22/('Financial Statements'!B48)</f>
        <v>0.28292440929256851</v>
      </c>
      <c r="D37" s="30">
        <f>'Financial Statements'!C22/('Financial Statements'!C48)</f>
        <v>0.26974205275183616</v>
      </c>
      <c r="E37" s="30">
        <f>'Financial Statements'!D22/('Financial Statements'!D48)</f>
        <v>0.1772557180259843</v>
      </c>
      <c r="I37" s="7"/>
    </row>
    <row r="38" spans="1:17" s="7" customFormat="1" x14ac:dyDescent="0.3">
      <c r="A38" s="34"/>
      <c r="B38" s="36" t="s">
        <v>175</v>
      </c>
      <c r="C38" s="48">
        <f>('Financial Statements'!B28)/1000</f>
        <v>16325.819</v>
      </c>
      <c r="D38" s="48">
        <f>('Financial Statements'!C28)/1000</f>
        <v>16864.919000000002</v>
      </c>
      <c r="E38" s="48">
        <f>('Financial Statements'!D28)/1000</f>
        <v>17528.214</v>
      </c>
    </row>
    <row r="39" spans="1:17" s="7" customFormat="1" x14ac:dyDescent="0.3">
      <c r="A39" s="34"/>
      <c r="B39" s="36" t="s">
        <v>153</v>
      </c>
      <c r="C39" s="37">
        <f>4754986</f>
        <v>4754986</v>
      </c>
      <c r="D39" s="37">
        <f t="shared" ref="D39:E40" si="4">C39</f>
        <v>4754986</v>
      </c>
      <c r="E39" s="37">
        <f t="shared" si="4"/>
        <v>4754986</v>
      </c>
    </row>
    <row r="40" spans="1:17" s="7" customFormat="1" x14ac:dyDescent="0.3">
      <c r="A40" s="34"/>
      <c r="B40" s="36" t="s">
        <v>152</v>
      </c>
      <c r="C40" s="37">
        <v>180.95</v>
      </c>
      <c r="D40" s="37">
        <f t="shared" si="4"/>
        <v>180.95</v>
      </c>
      <c r="E40" s="37">
        <f t="shared" si="4"/>
        <v>180.95</v>
      </c>
    </row>
    <row r="41" spans="1:17" s="7" customFormat="1" x14ac:dyDescent="0.3">
      <c r="A41" s="34"/>
      <c r="B41" s="36" t="s">
        <v>174</v>
      </c>
      <c r="C41" s="37">
        <f>'Financial Statements'!B102</f>
        <v>-14841</v>
      </c>
      <c r="D41" s="37">
        <f>'Financial Statements'!C102</f>
        <v>-14467</v>
      </c>
      <c r="E41" s="37">
        <f>'Financial Statements'!D102</f>
        <v>-14081</v>
      </c>
      <c r="H41" s="7" t="s">
        <v>167</v>
      </c>
      <c r="O41" s="50" t="s">
        <v>176</v>
      </c>
    </row>
    <row r="42" spans="1:17" s="7" customFormat="1" x14ac:dyDescent="0.3">
      <c r="A42" s="34"/>
      <c r="B42" s="36" t="s">
        <v>154</v>
      </c>
      <c r="C42" s="38">
        <f>C41/C38</f>
        <v>-0.90905087211857494</v>
      </c>
      <c r="D42" s="38">
        <f t="shared" ref="D42:E42" si="5">D41/D39</f>
        <v>-3.0424905562287672E-3</v>
      </c>
      <c r="E42" s="38">
        <f t="shared" si="5"/>
        <v>-2.9613126095429094E-3</v>
      </c>
    </row>
    <row r="43" spans="1:17" s="7" customFormat="1" x14ac:dyDescent="0.3">
      <c r="A43" s="34"/>
      <c r="B43" s="36" t="s">
        <v>155</v>
      </c>
      <c r="C43" s="39">
        <f>('Financial Statements'!B48)-('Financial Statements'!B56)</f>
        <v>198773</v>
      </c>
      <c r="D43" s="38">
        <f>('Financial Statements'!C48)-('Financial Statements'!C56)</f>
        <v>225521</v>
      </c>
      <c r="E43" s="38">
        <f>('Financial Statements'!D48)-('Financial Statements'!D56)</f>
        <v>218496</v>
      </c>
    </row>
    <row r="44" spans="1:17" s="7" customFormat="1" x14ac:dyDescent="0.3">
      <c r="A44" s="34"/>
      <c r="B44" s="36" t="s">
        <v>156</v>
      </c>
      <c r="C44" s="39">
        <f>C38*C40</f>
        <v>2954156.9480499998</v>
      </c>
      <c r="D44" s="39">
        <f t="shared" ref="D44:E44" si="6">D38*D40</f>
        <v>3051707.0930500003</v>
      </c>
      <c r="E44" s="39">
        <f t="shared" si="6"/>
        <v>3171730.3232999998</v>
      </c>
    </row>
    <row r="45" spans="1:17" x14ac:dyDescent="0.3">
      <c r="A45" s="18">
        <f>+A33+1</f>
        <v>5</v>
      </c>
      <c r="B45" s="17" t="s">
        <v>129</v>
      </c>
    </row>
    <row r="46" spans="1:17" x14ac:dyDescent="0.3">
      <c r="A46" s="18">
        <f>+A45+0.1</f>
        <v>5.0999999999999996</v>
      </c>
      <c r="B46" s="1" t="s">
        <v>130</v>
      </c>
      <c r="C46" s="24">
        <f>C40/C47</f>
        <v>45.554394794831062</v>
      </c>
      <c r="D46" s="24">
        <f>D40/D47</f>
        <v>53.198066644295302</v>
      </c>
      <c r="E46" s="24">
        <f>E40/E47</f>
        <v>62.461456966462514</v>
      </c>
    </row>
    <row r="47" spans="1:17" x14ac:dyDescent="0.3">
      <c r="A47" s="18">
        <f t="shared" ref="A47:A50" si="7">+A46+0.1</f>
        <v>5.1999999999999993</v>
      </c>
      <c r="B47" s="3" t="s">
        <v>131</v>
      </c>
      <c r="C47" s="24">
        <f>'Financial Statements'!B65/C38</f>
        <v>3.9721743821856657</v>
      </c>
      <c r="D47" s="24">
        <f>'Financial Statements'!C65/D38</f>
        <v>3.4014394021103804</v>
      </c>
      <c r="E47" s="24">
        <f>'Financial Statements'!D65/E38</f>
        <v>2.8969865383889082</v>
      </c>
      <c r="H47" t="s">
        <v>170</v>
      </c>
      <c r="Q47" s="51" t="s">
        <v>176</v>
      </c>
    </row>
    <row r="48" spans="1:17" x14ac:dyDescent="0.3">
      <c r="A48" s="18">
        <f t="shared" si="7"/>
        <v>5.2999999999999989</v>
      </c>
      <c r="B48" s="1" t="s">
        <v>132</v>
      </c>
      <c r="C48" s="24">
        <f>C40/C49</f>
        <v>58.29959243862487</v>
      </c>
      <c r="D48" s="24">
        <f>D40/D49</f>
        <v>48.370694136154697</v>
      </c>
      <c r="E48" s="24">
        <f>E40/E49</f>
        <v>48.542682368876164</v>
      </c>
    </row>
    <row r="49" spans="1:17" x14ac:dyDescent="0.3">
      <c r="A49" s="18">
        <f t="shared" si="7"/>
        <v>5.3999999999999986</v>
      </c>
      <c r="B49" s="3" t="s">
        <v>133</v>
      </c>
      <c r="C49" s="24">
        <f>('Financial Statements'!B48-'Financial Statements'!B62)/C38</f>
        <v>3.1037952827971451</v>
      </c>
      <c r="D49" s="24">
        <f>('Financial Statements'!C48-'Financial Statements'!C62)/D38</f>
        <v>3.740901453484597</v>
      </c>
      <c r="E49" s="24">
        <f>('Financial Statements'!D48-'Financial Statements'!D62)/E38</f>
        <v>3.7276473233382479</v>
      </c>
      <c r="H49" t="s">
        <v>170</v>
      </c>
      <c r="Q49" s="51" t="s">
        <v>176</v>
      </c>
    </row>
    <row r="50" spans="1:17" x14ac:dyDescent="0.3">
      <c r="A50" s="18">
        <f t="shared" si="7"/>
        <v>5.4999999999999982</v>
      </c>
      <c r="B50" s="1" t="s">
        <v>134</v>
      </c>
      <c r="C50" s="23">
        <f>C42/C47</f>
        <v>-0.22885472405125754</v>
      </c>
      <c r="D50" s="23">
        <f t="shared" ref="D50:E50" si="8">D42/D47</f>
        <v>-8.9447148590714035E-4</v>
      </c>
      <c r="E50" s="23">
        <f t="shared" si="8"/>
        <v>-1.022204477066633E-3</v>
      </c>
    </row>
    <row r="51" spans="1:17" x14ac:dyDescent="0.3">
      <c r="A51" s="18"/>
      <c r="B51" s="3" t="s">
        <v>135</v>
      </c>
      <c r="C51" s="18">
        <f>C38</f>
        <v>16325.819</v>
      </c>
      <c r="D51" s="18">
        <f t="shared" ref="D51:E51" si="9">D38</f>
        <v>16864.919000000002</v>
      </c>
      <c r="E51" s="18">
        <f t="shared" si="9"/>
        <v>17528.214</v>
      </c>
      <c r="G51" s="10" t="s">
        <v>181</v>
      </c>
      <c r="H51" t="s">
        <v>170</v>
      </c>
      <c r="Q51" s="51" t="s">
        <v>176</v>
      </c>
    </row>
    <row r="52" spans="1:17" x14ac:dyDescent="0.3">
      <c r="A52" s="18">
        <f>+A50+0.1</f>
        <v>5.5999999999999979</v>
      </c>
      <c r="B52" s="1" t="s">
        <v>136</v>
      </c>
      <c r="C52" s="35">
        <f>C42/C40</f>
        <v>-5.0237682902380494E-3</v>
      </c>
      <c r="D52" s="35">
        <f t="shared" ref="D52:E52" si="10">D42/D40</f>
        <v>-1.6813984836854198E-5</v>
      </c>
      <c r="E52" s="35">
        <f t="shared" si="10"/>
        <v>-1.6365363965420889E-5</v>
      </c>
    </row>
    <row r="53" spans="1:17" x14ac:dyDescent="0.3">
      <c r="A53" s="18">
        <f t="shared" ref="A53" si="11">+A51+0.1</f>
        <v>0.1</v>
      </c>
      <c r="B53" s="1" t="s">
        <v>137</v>
      </c>
      <c r="C53" s="24">
        <f>('Financial Statements'!B22)/('Financial Statements'!B68)</f>
        <v>1.9695887275023682</v>
      </c>
      <c r="D53" s="24">
        <f>('Financial Statements'!C22)/('Financial Statements'!C68)</f>
        <v>1.5007132667617689</v>
      </c>
      <c r="E53" s="24">
        <f>('Financial Statements'!D22)/('Financial Statements'!D68)</f>
        <v>0.87866358530127486</v>
      </c>
    </row>
    <row r="54" spans="1:17" x14ac:dyDescent="0.3">
      <c r="A54" s="18">
        <v>5.7</v>
      </c>
      <c r="B54" s="1" t="s">
        <v>138</v>
      </c>
      <c r="C54" s="24">
        <f>('Financial Statements'!B68)+('Financial Statements'!B55)</f>
        <v>61800</v>
      </c>
      <c r="D54" s="24">
        <f>('Financial Statements'!C68)+('Financial Statements'!C55+'Financial Statements'!C59)</f>
        <v>181809</v>
      </c>
      <c r="E54" s="24">
        <f>('Financial Statements'!D68)+('Financial Statements'!D55+'Financial Statements'!D59)</f>
        <v>172779</v>
      </c>
      <c r="G54" s="10" t="s">
        <v>179</v>
      </c>
      <c r="H54" t="s">
        <v>168</v>
      </c>
      <c r="O54" s="51" t="s">
        <v>176</v>
      </c>
    </row>
    <row r="55" spans="1:17" x14ac:dyDescent="0.3">
      <c r="A55" s="18">
        <f>+A53+0.1</f>
        <v>0.2</v>
      </c>
      <c r="B55" s="1" t="s">
        <v>128</v>
      </c>
      <c r="C55" s="33">
        <f>C37</f>
        <v>0.28292440929256851</v>
      </c>
      <c r="D55" s="33">
        <f>D37</f>
        <v>0.26974205275183616</v>
      </c>
      <c r="E55" s="33">
        <f>E37</f>
        <v>0.1772557180259843</v>
      </c>
    </row>
    <row r="56" spans="1:17" x14ac:dyDescent="0.3">
      <c r="A56" s="18">
        <f>+A55+0.1</f>
        <v>0.30000000000000004</v>
      </c>
      <c r="B56" s="1" t="s">
        <v>139</v>
      </c>
      <c r="C56" s="24">
        <f>C57/C19</f>
        <v>27.153673839457966</v>
      </c>
      <c r="D56" s="24">
        <f>D57/D19</f>
        <v>30.987355685762559</v>
      </c>
      <c r="E56" s="24">
        <f>E57/E19</f>
        <v>56.896134909110657</v>
      </c>
    </row>
    <row r="57" spans="1:17" s="40" customFormat="1" ht="43.2" x14ac:dyDescent="0.3">
      <c r="A57" s="41"/>
      <c r="B57" s="42" t="s">
        <v>140</v>
      </c>
      <c r="C57" s="43">
        <f>C44+('Financial Statements'!B55)-('Financial Statements'!B36)</f>
        <v>2941638.9480499998</v>
      </c>
      <c r="D57" s="43">
        <f>D44+('Financial Statements'!C55)-('Financial Statements'!C36)</f>
        <v>3026380.0930500003</v>
      </c>
      <c r="E57" s="43">
        <f>E44+('Financial Statements'!D55)-('Financial Statements'!D36)</f>
        <v>3142487.3232999998</v>
      </c>
      <c r="G57" s="10" t="s">
        <v>179</v>
      </c>
      <c r="H57" s="40" t="s">
        <v>171</v>
      </c>
      <c r="O57" s="49" t="s">
        <v>176</v>
      </c>
    </row>
  </sheetData>
  <mergeCells count="1">
    <mergeCell ref="C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2020-05-18T16:32:37Z</dcterms:created>
  <dcterms:modified xsi:type="dcterms:W3CDTF">2023-06-10T16:57:17Z</dcterms:modified>
</cp:coreProperties>
</file>