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7536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3" l="1"/>
  <c r="D60" i="3"/>
  <c r="C60" i="3"/>
  <c r="E43" i="3"/>
  <c r="D43" i="3"/>
  <c r="C43" i="3"/>
  <c r="E57" i="3"/>
  <c r="D57" i="3"/>
  <c r="C57" i="3"/>
  <c r="B57" i="3"/>
  <c r="E56" i="3"/>
  <c r="D56" i="3"/>
  <c r="C56" i="3"/>
  <c r="B56" i="3"/>
  <c r="E45" i="3"/>
  <c r="E46" i="3" s="1"/>
  <c r="D45" i="3"/>
  <c r="D46" i="3" s="1"/>
  <c r="C45" i="3"/>
  <c r="C46" i="3" s="1"/>
  <c r="E44" i="3"/>
  <c r="E41" i="3"/>
  <c r="D41" i="3"/>
  <c r="D44" i="3" s="1"/>
  <c r="C41" i="3"/>
  <c r="C44" i="3" s="1"/>
  <c r="E26" i="3" l="1"/>
  <c r="D26" i="3"/>
  <c r="C26" i="3"/>
  <c r="E25" i="3"/>
  <c r="D25" i="3"/>
  <c r="C25" i="3"/>
  <c r="E22" i="3"/>
  <c r="E29" i="3" s="1"/>
  <c r="D22" i="3"/>
  <c r="D29" i="3" s="1"/>
  <c r="C22" i="3"/>
  <c r="C29" i="3" s="1"/>
  <c r="E9" i="3"/>
  <c r="D9" i="3"/>
  <c r="C9" i="3"/>
  <c r="E8" i="3"/>
  <c r="D8" i="3"/>
  <c r="C8" i="3"/>
  <c r="E7" i="3"/>
  <c r="D7" i="3"/>
  <c r="C7" i="3"/>
  <c r="E6" i="3"/>
  <c r="D6" i="3"/>
  <c r="C6" i="3"/>
  <c r="E47" i="3"/>
  <c r="D47" i="3"/>
  <c r="E51" i="3"/>
  <c r="D51" i="3"/>
  <c r="C51" i="3"/>
  <c r="C47" i="3"/>
  <c r="E42" i="3"/>
  <c r="D42" i="3"/>
  <c r="C42" i="3"/>
  <c r="E40" i="3"/>
  <c r="D40" i="3"/>
  <c r="C40" i="3"/>
  <c r="E37" i="3"/>
  <c r="E49" i="3" s="1"/>
  <c r="D37" i="3"/>
  <c r="D49" i="3" s="1"/>
  <c r="E36" i="3"/>
  <c r="D36" i="3"/>
  <c r="E35" i="3"/>
  <c r="D35" i="3"/>
  <c r="E34" i="3"/>
  <c r="D34" i="3"/>
  <c r="C37" i="3"/>
  <c r="C49" i="3" s="1"/>
  <c r="C36" i="3"/>
  <c r="C35" i="3"/>
  <c r="C34" i="3"/>
  <c r="E31" i="3"/>
  <c r="E30" i="3" s="1"/>
  <c r="D31" i="3"/>
  <c r="D30" i="3" s="1"/>
  <c r="C31" i="3"/>
  <c r="C30" i="3" s="1"/>
  <c r="D157" i="1"/>
  <c r="C157" i="1"/>
  <c r="B157" i="1"/>
  <c r="B144" i="1"/>
  <c r="E27" i="3"/>
  <c r="D27" i="3"/>
  <c r="C27" i="3"/>
  <c r="E21" i="3"/>
  <c r="D21" i="3"/>
  <c r="D19" i="3" s="1"/>
  <c r="C21" i="3"/>
  <c r="C19" i="3" s="1"/>
  <c r="R17" i="3"/>
  <c r="Q17" i="3"/>
  <c r="P17" i="3"/>
  <c r="E17" i="3"/>
  <c r="D17" i="3"/>
  <c r="C17" i="3"/>
  <c r="E11" i="3"/>
  <c r="E12" i="3" s="1"/>
  <c r="D11" i="3"/>
  <c r="E10" i="3"/>
  <c r="D10" i="3"/>
  <c r="R12" i="3"/>
  <c r="Q12" i="3"/>
  <c r="P12" i="3"/>
  <c r="R10" i="3"/>
  <c r="Q10" i="3"/>
  <c r="P10" i="3"/>
  <c r="R9" i="3"/>
  <c r="Q9" i="3"/>
  <c r="P9" i="3"/>
  <c r="C11" i="3"/>
  <c r="C10" i="3"/>
  <c r="E5" i="3"/>
  <c r="D5" i="3"/>
  <c r="C5" i="3"/>
  <c r="D153" i="1"/>
  <c r="C153" i="1"/>
  <c r="B153" i="1"/>
  <c r="D152" i="1"/>
  <c r="C152" i="1"/>
  <c r="B152" i="1"/>
  <c r="A151" i="1"/>
  <c r="C104" i="1"/>
  <c r="B104" i="1"/>
  <c r="A104" i="1"/>
  <c r="B48" i="1"/>
  <c r="B47" i="1"/>
  <c r="C48" i="1"/>
  <c r="C47" i="1"/>
  <c r="A48" i="1"/>
  <c r="A47" i="1"/>
  <c r="B42" i="1"/>
  <c r="B41" i="1"/>
  <c r="C42" i="1"/>
  <c r="C41" i="1"/>
  <c r="A95" i="1"/>
  <c r="A102" i="1"/>
  <c r="A100" i="1"/>
  <c r="A99" i="1"/>
  <c r="A98" i="1"/>
  <c r="A96" i="1"/>
  <c r="A42" i="1"/>
  <c r="A41" i="1"/>
  <c r="Q8" i="3" l="1"/>
  <c r="D14" i="3" s="1"/>
  <c r="D13" i="3" s="1"/>
  <c r="E20" i="3"/>
  <c r="R8" i="3"/>
  <c r="E14" i="3" s="1"/>
  <c r="E13" i="3" s="1"/>
  <c r="C18" i="3"/>
  <c r="D18" i="3"/>
  <c r="C12" i="3"/>
  <c r="D12" i="3"/>
  <c r="P8" i="3"/>
  <c r="C14" i="3" s="1"/>
  <c r="C13" i="3" s="1"/>
  <c r="D50" i="3"/>
  <c r="C50" i="3"/>
  <c r="E28" i="3"/>
  <c r="E48" i="3"/>
  <c r="C48" i="3"/>
  <c r="C28" i="3"/>
  <c r="E19" i="3"/>
  <c r="E18" i="3" s="1"/>
  <c r="C20" i="3"/>
  <c r="D48" i="3"/>
  <c r="D28" i="3"/>
  <c r="D20" i="3"/>
  <c r="A35" i="1"/>
  <c r="A34" i="1"/>
  <c r="D143" i="1"/>
  <c r="C143" i="1"/>
  <c r="B143" i="1"/>
  <c r="D134" i="1"/>
  <c r="C134" i="1"/>
  <c r="B134" i="1"/>
  <c r="E50" i="3" l="1"/>
  <c r="D90" i="1"/>
  <c r="C90" i="1"/>
  <c r="C102" i="1" s="1"/>
  <c r="B90" i="1"/>
  <c r="B102" i="1" s="1"/>
  <c r="D83" i="1"/>
  <c r="C83" i="1"/>
  <c r="C100" i="1" s="1"/>
  <c r="B83" i="1"/>
  <c r="B100" i="1" s="1"/>
  <c r="D78" i="1"/>
  <c r="C78" i="1"/>
  <c r="C99" i="1" s="1"/>
  <c r="B78" i="1"/>
  <c r="D69" i="1"/>
  <c r="C69" i="1"/>
  <c r="C96" i="1" s="1"/>
  <c r="B69" i="1"/>
  <c r="B96" i="1" s="1"/>
  <c r="D64" i="1"/>
  <c r="C64" i="1"/>
  <c r="B64" i="1"/>
  <c r="B95" i="1" s="1"/>
  <c r="D17" i="1"/>
  <c r="C17" i="1"/>
  <c r="B17" i="1"/>
  <c r="B46" i="1" s="1"/>
  <c r="D12" i="1"/>
  <c r="C12" i="1"/>
  <c r="C40" i="1" s="1"/>
  <c r="B12" i="1"/>
  <c r="D8" i="1"/>
  <c r="C8" i="1"/>
  <c r="B8" i="1"/>
  <c r="E3" i="3"/>
  <c r="D3" i="3"/>
  <c r="C3" i="3"/>
  <c r="D55" i="1"/>
  <c r="D108" i="1" s="1"/>
  <c r="C55" i="1"/>
  <c r="C108" i="1" s="1"/>
  <c r="B55" i="1"/>
  <c r="B108" i="1" s="1"/>
  <c r="C95" i="1" l="1"/>
  <c r="C46" i="1"/>
  <c r="B99" i="1"/>
  <c r="B40" i="1"/>
  <c r="B70" i="1"/>
  <c r="B94" i="1" s="1"/>
  <c r="B35" i="1"/>
  <c r="B34" i="1"/>
  <c r="C13" i="1"/>
  <c r="C44" i="1" s="1"/>
  <c r="C35" i="1"/>
  <c r="C34" i="1"/>
  <c r="D13" i="1"/>
  <c r="D32" i="1" s="1"/>
  <c r="D35" i="1"/>
  <c r="D34" i="1"/>
  <c r="C31" i="1"/>
  <c r="B31" i="1"/>
  <c r="D31" i="1"/>
  <c r="C84" i="1"/>
  <c r="B84" i="1"/>
  <c r="B13" i="1"/>
  <c r="C70" i="1"/>
  <c r="D84" i="1"/>
  <c r="D91" i="1" s="1"/>
  <c r="D70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94" i="1" l="1"/>
  <c r="B32" i="1"/>
  <c r="B44" i="1"/>
  <c r="B91" i="1"/>
  <c r="B98" i="1"/>
  <c r="C91" i="1"/>
  <c r="C98" i="1"/>
  <c r="D18" i="1"/>
  <c r="D20" i="1" s="1"/>
  <c r="C18" i="1"/>
  <c r="C32" i="1"/>
  <c r="B18" i="1"/>
  <c r="A24" i="3"/>
  <c r="A25" i="3" s="1"/>
  <c r="A26" i="3" s="1"/>
  <c r="A27" i="3" s="1"/>
  <c r="A28" i="3" s="1"/>
  <c r="A29" i="3" s="1"/>
  <c r="A30" i="3" s="1"/>
  <c r="A33" i="3" l="1"/>
  <c r="D22" i="1"/>
  <c r="D51" i="1"/>
  <c r="D36" i="1"/>
  <c r="B20" i="1"/>
  <c r="B36" i="1"/>
  <c r="C20" i="1"/>
  <c r="C36" i="1"/>
  <c r="D111" i="1"/>
  <c r="D126" i="1" s="1"/>
  <c r="D144" i="1" s="1"/>
  <c r="D37" i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22" i="1" l="1"/>
  <c r="C51" i="1"/>
  <c r="B22" i="1"/>
  <c r="B37" i="1" s="1"/>
  <c r="B51" i="1"/>
  <c r="C111" i="1"/>
  <c r="C126" i="1" s="1"/>
  <c r="C144" i="1" s="1"/>
  <c r="C37" i="1"/>
  <c r="B111" i="1"/>
  <c r="B126" i="1" s="1"/>
</calcChain>
</file>

<file path=xl/sharedStrings.xml><?xml version="1.0" encoding="utf-8"?>
<sst xmlns="http://schemas.openxmlformats.org/spreadsheetml/2006/main" count="226" uniqueCount="182">
  <si>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</si>
  <si>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</si>
  <si>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</si>
  <si>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</si>
  <si>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</si>
  <si>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</si>
  <si>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</si>
  <si>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</si>
  <si>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</si>
  <si>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</si>
  <si>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</si>
  <si>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</si>
  <si>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</si>
  <si>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</si>
  <si>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</si>
  <si>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</si>
  <si>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</si>
  <si>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</si>
  <si>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</si>
  <si>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</si>
  <si>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</si>
  <si>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</si>
  <si>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</si>
  <si>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</si>
  <si>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</si>
  <si>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</si>
  <si>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</si>
  <si>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</si>
  <si>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</si>
  <si>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</si>
  <si>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</si>
  <si>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</si>
  <si>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</si>
  <si>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</si>
  <si>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</si>
  <si>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</si>
  <si>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</si>
  <si>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</si>
  <si>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</si>
  <si>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</si>
  <si>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</si>
  <si>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</si>
  <si>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</si>
  <si>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</si>
  <si>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</si>
  <si>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</si>
  <si>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</si>
  <si>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</si>
  <si>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</si>
  <si>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</si>
  <si>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</si>
  <si>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</si>
  <si>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</si>
  <si>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</si>
  <si>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</si>
  <si>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</si>
  <si>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</si>
  <si>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</si>
  <si>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</si>
  <si>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</si>
  <si>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</si>
  <si>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</si>
  <si>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</si>
  <si>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</si>
  <si>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</si>
  <si>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</si>
  <si>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</si>
  <si>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</si>
  <si>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</si>
  <si>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</si>
  <si>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</si>
  <si>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</si>
  <si>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</si>
  <si>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</si>
  <si>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</si>
  <si>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</si>
  <si>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</si>
  <si>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</si>
  <si>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</si>
  <si>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</si>
  <si>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</si>
  <si>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</si>
  <si>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</si>
  <si>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</si>
  <si>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</si>
  <si>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</si>
  <si>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</si>
  <si>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</si>
  <si>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</si>
  <si>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</si>
  <si>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</si>
  <si>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</si>
  <si>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</si>
  <si>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</si>
  <si>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</si>
  <si>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</si>
  <si>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</si>
  <si>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</si>
  <si>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</si>
  <si>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</si>
  <si>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</si>
  <si>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</si>
  <si>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</si>
  <si>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</si>
  <si>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</si>
  <si>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</si>
  <si>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</si>
  <si>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</si>
  <si>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</si>
  <si>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</si>
  <si>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</si>
  <si>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</si>
  <si>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</si>
  <si>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</si>
  <si>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</si>
  <si>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</si>
  <si>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</si>
  <si>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</si>
  <si>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</si>
  <si>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</si>
  <si>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</si>
  <si>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</si>
  <si>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</si>
  <si>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</si>
  <si>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</si>
  <si>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</si>
  <si>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</si>
  <si>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</si>
  <si>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</si>
  <si>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</si>
  <si>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</si>
  <si>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</si>
  <si>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</si>
  <si>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</si>
  <si>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</si>
  <si>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</si>
  <si>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</si>
  <si>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</si>
  <si>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</si>
  <si>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</si>
  <si>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</si>
  <si>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</si>
  <si>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</si>
  <si>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</si>
  <si>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</si>
  <si>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</si>
  <si>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</si>
  <si>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</si>
  <si>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</si>
  <si>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</si>
  <si>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Margins</t>
  </si>
  <si>
    <t>Gross margin (gross profit)</t>
  </si>
  <si>
    <t>Operating expenses</t>
  </si>
  <si>
    <t>Growth rates</t>
  </si>
  <si>
    <t xml:space="preserve">Sales </t>
  </si>
  <si>
    <t xml:space="preserve">Total Assets </t>
  </si>
  <si>
    <t>Tax rates</t>
  </si>
  <si>
    <t>-</t>
  </si>
  <si>
    <t xml:space="preserve">CAPEX as  % of sales </t>
  </si>
  <si>
    <t xml:space="preserve">CAPEX as  % of fixed assets </t>
  </si>
  <si>
    <t>Working capital items</t>
  </si>
  <si>
    <t xml:space="preserve">Current asstes </t>
  </si>
  <si>
    <t xml:space="preserve">Current liabilities </t>
  </si>
  <si>
    <t>Sales</t>
  </si>
  <si>
    <t xml:space="preserve">revenue </t>
  </si>
  <si>
    <t>Operating income (EBIT)</t>
  </si>
  <si>
    <t>APPLE SHARE PRICE  (bloomberg)</t>
  </si>
  <si>
    <t xml:space="preserve">used other income/ (expense) as interest expense </t>
  </si>
  <si>
    <t>Shares</t>
  </si>
  <si>
    <t>EPS</t>
  </si>
  <si>
    <t xml:space="preserve">capital employed </t>
  </si>
  <si>
    <t>annual operating expenses = Total operating expenses (Row 17 FS sheet)</t>
  </si>
  <si>
    <t>Interest can be found in Row 149 in FS sheet</t>
  </si>
  <si>
    <t>Interest can be found in Row 149 in FS sheet, Debt repayment can be found in Row 140</t>
  </si>
  <si>
    <t>Please note that Equity is in millions, and share count is in absolute number, so the value should be multiplied by 1000</t>
  </si>
  <si>
    <t xml:space="preserve">Please note that FCFE is in millions, and share count is in absolute number, so the value should be divided by 1,0000
</t>
  </si>
  <si>
    <t>Dividend Per Share / Share Price</t>
  </si>
  <si>
    <t>EBIT / Capital Employed
Capital employed = (Equity + Long term debt)</t>
  </si>
  <si>
    <t>Please note that Balance sheet is in millions, and share count is in absolute number, so the market Cap should be divided by 1000</t>
  </si>
  <si>
    <t>Current liabilities in your calculation is incorrectly linked to Row 66 in FS sheet, it should be linked to Row 78</t>
  </si>
  <si>
    <t>Link with - sign so that the Dividend value becomes a positive figure here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</si>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</sst>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0.00000"/>
    <numFmt numFmtId="169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0" fontId="8" fillId="0" borderId="0" xfId="0" applyFont="1" applyAlignment="1">
      <alignment horizontal="left" indent="3"/>
    </xf>
    <xf numFmtId="9" fontId="0" fillId="0" borderId="0" xfId="3" applyFont="1" applyAlignment="1">
      <alignment horizontal="right"/>
    </xf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left" indent="1"/>
    </xf>
    <xf numFmtId="0" fontId="2" fillId="6" borderId="0" xfId="0" applyFont="1" applyFill="1" applyAlignment="1">
      <alignment horizontal="left" indent="1"/>
    </xf>
    <xf numFmtId="0" fontId="0" fillId="6" borderId="0" xfId="0" applyFill="1"/>
    <xf numFmtId="9" fontId="0" fillId="6" borderId="0" xfId="3" applyFont="1" applyFill="1" applyAlignment="1">
      <alignment horizontal="right"/>
    </xf>
    <xf numFmtId="165" fontId="2" fillId="0" borderId="0" xfId="1" applyNumberFormat="1" applyFont="1" applyBorder="1"/>
    <xf numFmtId="165" fontId="0" fillId="0" borderId="0" xfId="0" applyNumberFormat="1"/>
    <xf numFmtId="0" fontId="8" fillId="0" borderId="0" xfId="0" applyFont="1" applyAlignment="1">
      <alignment horizontal="left" indent="2"/>
    </xf>
    <xf numFmtId="9" fontId="2" fillId="0" borderId="0" xfId="3" applyFont="1" applyAlignment="1">
      <alignment horizontal="right"/>
    </xf>
    <xf numFmtId="9" fontId="2" fillId="6" borderId="0" xfId="3" applyFont="1" applyFill="1" applyAlignment="1">
      <alignment horizontal="right"/>
    </xf>
    <xf numFmtId="9" fontId="1" fillId="0" borderId="0" xfId="3" applyFont="1" applyAlignment="1">
      <alignment horizontal="right"/>
    </xf>
    <xf numFmtId="167" fontId="0" fillId="0" borderId="0" xfId="3" applyNumberFormat="1" applyFont="1"/>
    <xf numFmtId="167" fontId="1" fillId="0" borderId="0" xfId="3" applyNumberFormat="1" applyFont="1" applyBorder="1"/>
    <xf numFmtId="167" fontId="1" fillId="0" borderId="0" xfId="3" applyNumberFormat="1" applyFont="1"/>
    <xf numFmtId="167" fontId="1" fillId="0" borderId="0" xfId="3" applyNumberFormat="1" applyFont="1" applyBorder="1" applyAlignment="1">
      <alignment horizontal="right"/>
    </xf>
    <xf numFmtId="167" fontId="0" fillId="0" borderId="0" xfId="3" applyNumberFormat="1" applyFont="1" applyAlignment="1">
      <alignment horizontal="right"/>
    </xf>
    <xf numFmtId="0" fontId="2" fillId="6" borderId="0" xfId="0" applyFont="1" applyFill="1"/>
    <xf numFmtId="164" fontId="0" fillId="0" borderId="0" xfId="1" applyFont="1"/>
    <xf numFmtId="168" fontId="0" fillId="0" borderId="0" xfId="0" applyNumberFormat="1"/>
    <xf numFmtId="169" fontId="0" fillId="0" borderId="0" xfId="0" applyNumberFormat="1"/>
    <xf numFmtId="2" fontId="0" fillId="0" borderId="0" xfId="0" applyNumberFormat="1"/>
    <xf numFmtId="1" fontId="0" fillId="0" borderId="0" xfId="0" applyNumberFormat="1"/>
    <xf numFmtId="0" fontId="2" fillId="5" borderId="0" xfId="0" applyFont="1" applyFill="1"/>
    <xf numFmtId="165" fontId="2" fillId="5" borderId="0" xfId="0" applyNumberFormat="1" applyFont="1" applyFill="1"/>
    <xf numFmtId="2" fontId="0" fillId="0" borderId="0" xfId="0" applyNumberFormat="1" applyFill="1"/>
    <xf numFmtId="164" fontId="0" fillId="7" borderId="0" xfId="0" applyNumberFormat="1" applyFill="1"/>
    <xf numFmtId="164" fontId="0" fillId="0" borderId="0" xfId="0" applyNumberFormat="1" applyFill="1"/>
    <xf numFmtId="0" fontId="0" fillId="0" borderId="0" xfId="0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7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40" sqref="A40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27" t="s">
        <v>145</v>
      </c>
    </row>
    <row r="10" spans="1:1" x14ac:dyDescent="0.3">
      <c r="A10" s="27" t="s">
        <v>89</v>
      </c>
    </row>
    <row r="11" spans="1:1" x14ac:dyDescent="0.3">
      <c r="A11" s="27" t="s">
        <v>90</v>
      </c>
    </row>
    <row r="12" spans="1:1" x14ac:dyDescent="0.3">
      <c r="A12" s="27" t="s">
        <v>91</v>
      </c>
    </row>
    <row r="13" spans="1:1" x14ac:dyDescent="0.3">
      <c r="A13" s="1"/>
    </row>
    <row r="14" spans="1:1" x14ac:dyDescent="0.3">
      <c r="A14" s="26" t="s">
        <v>92</v>
      </c>
    </row>
    <row r="15" spans="1:1" x14ac:dyDescent="0.3">
      <c r="A15" s="27" t="s">
        <v>146</v>
      </c>
    </row>
    <row r="16" spans="1:1" x14ac:dyDescent="0.3">
      <c r="A16" s="27" t="s">
        <v>89</v>
      </c>
    </row>
    <row r="17" spans="1:1" x14ac:dyDescent="0.3">
      <c r="A17" s="27" t="s">
        <v>90</v>
      </c>
    </row>
    <row r="18" spans="1:1" x14ac:dyDescent="0.3">
      <c r="A18" s="27" t="s">
        <v>14</v>
      </c>
    </row>
    <row r="19" spans="1:1" x14ac:dyDescent="0.3">
      <c r="A19" s="27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27" t="s">
        <v>94</v>
      </c>
    </row>
    <row r="23" spans="1:1" x14ac:dyDescent="0.3">
      <c r="A23" s="27" t="s">
        <v>95</v>
      </c>
    </row>
    <row r="24" spans="1:1" x14ac:dyDescent="0.3">
      <c r="A24" s="27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opLeftCell="A125" workbookViewId="0">
      <selection activeCell="A144" sqref="A144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55" t="s">
        <v>1</v>
      </c>
      <c r="B2" s="55"/>
      <c r="C2" s="55"/>
      <c r="D2" s="55"/>
    </row>
    <row r="3" spans="1:10" x14ac:dyDescent="0.3">
      <c r="B3" s="54" t="s">
        <v>23</v>
      </c>
      <c r="C3" s="54"/>
      <c r="D3" s="5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151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G15" s="32"/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165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4" x14ac:dyDescent="0.3">
      <c r="A30" s="28" t="s">
        <v>150</v>
      </c>
      <c r="B30" s="29"/>
      <c r="C30" s="29"/>
      <c r="D30" s="29"/>
    </row>
    <row r="31" spans="1:4" x14ac:dyDescent="0.3">
      <c r="A31" s="1" t="s">
        <v>146</v>
      </c>
      <c r="B31" s="23">
        <f>B12/B8</f>
        <v>0.56690369438639909</v>
      </c>
      <c r="C31" s="23">
        <f t="shared" ref="C31:D31" si="8">C12/C8</f>
        <v>0.58220640374832222</v>
      </c>
      <c r="D31" s="23">
        <f t="shared" si="8"/>
        <v>0.61766752272189129</v>
      </c>
    </row>
    <row r="32" spans="1:4" x14ac:dyDescent="0.3">
      <c r="A32" s="1" t="s">
        <v>89</v>
      </c>
      <c r="B32" s="25">
        <f>B13/B8</f>
        <v>0.43309630561360085</v>
      </c>
      <c r="C32" s="25">
        <f t="shared" ref="C32:D32" si="9">C13/C8</f>
        <v>0.41779359625167778</v>
      </c>
      <c r="D32" s="25">
        <f t="shared" si="9"/>
        <v>0.38233247727810865</v>
      </c>
    </row>
    <row r="33" spans="1:4" x14ac:dyDescent="0.3">
      <c r="A33" s="1" t="s">
        <v>152</v>
      </c>
      <c r="B33" s="25"/>
      <c r="C33" s="25"/>
      <c r="D33" s="25"/>
    </row>
    <row r="34" spans="1:4" s="3" customFormat="1" x14ac:dyDescent="0.3">
      <c r="A34" s="24" t="str">
        <f>A15</f>
        <v>Research and development</v>
      </c>
      <c r="B34" s="25">
        <f>B15/B$8</f>
        <v>6.657148363798665E-2</v>
      </c>
      <c r="C34" s="25">
        <f t="shared" ref="C34:D34" si="10">C15/C$8</f>
        <v>5.9904269074427925E-2</v>
      </c>
      <c r="D34" s="25">
        <f t="shared" si="10"/>
        <v>6.8309564140393061E-2</v>
      </c>
    </row>
    <row r="35" spans="1:4" s="3" customFormat="1" x14ac:dyDescent="0.3">
      <c r="A35" s="24" t="str">
        <f t="shared" ref="A35" si="11">A16</f>
        <v>Selling, general and administrative</v>
      </c>
      <c r="B35" s="25">
        <f t="shared" ref="B35:D35" si="12">B16/B$8</f>
        <v>6.3637378020328261E-2</v>
      </c>
      <c r="C35" s="25">
        <f t="shared" si="12"/>
        <v>6.006555190163388E-2</v>
      </c>
      <c r="D35" s="25">
        <f t="shared" si="12"/>
        <v>7.2549769593646979E-2</v>
      </c>
    </row>
    <row r="36" spans="1:4" x14ac:dyDescent="0.3">
      <c r="A36" s="1" t="s">
        <v>14</v>
      </c>
      <c r="B36" s="25">
        <f>B18/B8</f>
        <v>0.30288744395528594</v>
      </c>
      <c r="C36" s="25">
        <f t="shared" ref="C36:D36" si="13">C18/C8</f>
        <v>0.29782377527561593</v>
      </c>
      <c r="D36" s="25">
        <f t="shared" si="13"/>
        <v>0.24147314354406862</v>
      </c>
    </row>
    <row r="37" spans="1:4" x14ac:dyDescent="0.3">
      <c r="A37" s="1" t="s">
        <v>93</v>
      </c>
      <c r="B37" s="25">
        <f>B22/B8</f>
        <v>0.25309640705199732</v>
      </c>
      <c r="C37" s="25">
        <f t="shared" ref="C37:D37" si="14">C22/C8</f>
        <v>0.25881793355694238</v>
      </c>
      <c r="D37" s="25">
        <f t="shared" si="14"/>
        <v>0.20913611278072236</v>
      </c>
    </row>
    <row r="38" spans="1:4" x14ac:dyDescent="0.3">
      <c r="A38" s="1"/>
      <c r="B38" s="25"/>
      <c r="C38" s="25"/>
      <c r="D38" s="25"/>
    </row>
    <row r="39" spans="1:4" x14ac:dyDescent="0.3">
      <c r="A39" s="28" t="s">
        <v>153</v>
      </c>
      <c r="B39" s="30"/>
      <c r="C39" s="30"/>
      <c r="D39" s="30"/>
    </row>
    <row r="40" spans="1:4" x14ac:dyDescent="0.3">
      <c r="A40" s="1" t="s">
        <v>154</v>
      </c>
      <c r="B40" s="36">
        <f t="shared" ref="B40" si="15">(B12-C12)/C12</f>
        <v>4.9605363858747961E-2</v>
      </c>
      <c r="C40" s="36">
        <f>(C12-D12)/D12</f>
        <v>0.25608785142634716</v>
      </c>
      <c r="D40" s="36" t="s">
        <v>157</v>
      </c>
    </row>
    <row r="41" spans="1:4" x14ac:dyDescent="0.3">
      <c r="A41" s="24" t="str">
        <f>A10</f>
        <v>Products</v>
      </c>
      <c r="B41" s="25">
        <f t="shared" ref="B41" si="16">(B10-C10)/C10</f>
        <v>4.7876379599097081E-2</v>
      </c>
      <c r="C41" s="25">
        <f>(C10-D10)/D10</f>
        <v>0.27087767539626934</v>
      </c>
      <c r="D41" s="25" t="s">
        <v>157</v>
      </c>
    </row>
    <row r="42" spans="1:4" x14ac:dyDescent="0.3">
      <c r="A42" s="24" t="str">
        <f t="shared" ref="A42" si="17">A11</f>
        <v>Services</v>
      </c>
      <c r="B42" s="25">
        <f t="shared" ref="B42" si="18">(B11-C11)/C11</f>
        <v>6.5652908520395847E-2</v>
      </c>
      <c r="C42" s="25">
        <f>(C11-D11)/D11</f>
        <v>0.13363979642094895</v>
      </c>
      <c r="D42" s="25" t="s">
        <v>157</v>
      </c>
    </row>
    <row r="43" spans="1:4" x14ac:dyDescent="0.3">
      <c r="A43" s="24"/>
      <c r="B43" s="25"/>
      <c r="C43" s="25"/>
      <c r="D43" s="25"/>
    </row>
    <row r="44" spans="1:4" x14ac:dyDescent="0.3">
      <c r="A44" s="1" t="s">
        <v>89</v>
      </c>
      <c r="B44" s="36">
        <f t="shared" ref="B44" si="19">(B13-C13)/C13</f>
        <v>0.11741997958596143</v>
      </c>
      <c r="C44" s="36">
        <f>(C13-D13)/D13</f>
        <v>0.45619116582186819</v>
      </c>
      <c r="D44" s="36" t="s">
        <v>157</v>
      </c>
    </row>
    <row r="45" spans="1:4" x14ac:dyDescent="0.3">
      <c r="A45" s="11"/>
      <c r="B45" s="34"/>
      <c r="C45" s="34"/>
      <c r="D45" s="34"/>
    </row>
    <row r="46" spans="1:4" x14ac:dyDescent="0.3">
      <c r="A46" s="1" t="s">
        <v>152</v>
      </c>
      <c r="B46" s="36">
        <f t="shared" ref="B46" si="20">(B17-C17)/C17</f>
        <v>0.16993642764372138</v>
      </c>
      <c r="C46" s="36">
        <f>(C17-D17)/D17</f>
        <v>0.13496948381090307</v>
      </c>
      <c r="D46" s="36" t="s">
        <v>157</v>
      </c>
    </row>
    <row r="47" spans="1:4" x14ac:dyDescent="0.3">
      <c r="A47" s="24" t="str">
        <f>A15</f>
        <v>Research and development</v>
      </c>
      <c r="B47" s="25">
        <f t="shared" ref="B47" si="21">(B15-C15)/C15</f>
        <v>0.19791001186456147</v>
      </c>
      <c r="C47" s="25">
        <f>(C15-D15)/D15</f>
        <v>0.16862201365187712</v>
      </c>
      <c r="D47" s="25" t="s">
        <v>157</v>
      </c>
    </row>
    <row r="48" spans="1:4" x14ac:dyDescent="0.3">
      <c r="A48" s="24" t="str">
        <f t="shared" ref="A48" si="22">A16</f>
        <v>Selling, general and administrative</v>
      </c>
      <c r="B48" s="25">
        <f t="shared" ref="B48" si="23">(B16-C16)/C16</f>
        <v>0.14203795567287125</v>
      </c>
      <c r="C48" s="25">
        <f>(C16-D16)/D16</f>
        <v>0.10328379192608958</v>
      </c>
      <c r="D48" s="25" t="s">
        <v>157</v>
      </c>
    </row>
    <row r="49" spans="1:4" x14ac:dyDescent="0.3">
      <c r="A49" s="1"/>
      <c r="B49" s="25"/>
      <c r="C49" s="25"/>
      <c r="D49" s="25"/>
    </row>
    <row r="50" spans="1:4" x14ac:dyDescent="0.3">
      <c r="A50" s="28" t="s">
        <v>156</v>
      </c>
      <c r="B50" s="35"/>
      <c r="C50" s="35"/>
      <c r="D50" s="35"/>
    </row>
    <row r="51" spans="1:4" x14ac:dyDescent="0.3">
      <c r="A51" s="1" t="s">
        <v>94</v>
      </c>
      <c r="B51" s="23">
        <f>B21/B20</f>
        <v>0.16204461684424407</v>
      </c>
      <c r="C51" s="23">
        <f t="shared" ref="C51:D51" si="24">C21/C20</f>
        <v>0.13302260844085087</v>
      </c>
      <c r="D51" s="23">
        <f t="shared" si="24"/>
        <v>0.14428164731484103</v>
      </c>
    </row>
    <row r="52" spans="1:4" x14ac:dyDescent="0.3">
      <c r="A52" s="1"/>
    </row>
    <row r="53" spans="1:4" x14ac:dyDescent="0.3">
      <c r="A53" s="55" t="s">
        <v>24</v>
      </c>
      <c r="B53" s="55"/>
      <c r="C53" s="55"/>
      <c r="D53" s="55"/>
    </row>
    <row r="54" spans="1:4" x14ac:dyDescent="0.3">
      <c r="B54" s="54" t="s">
        <v>142</v>
      </c>
      <c r="C54" s="54"/>
      <c r="D54" s="54"/>
    </row>
    <row r="55" spans="1:4" x14ac:dyDescent="0.3">
      <c r="B55" s="7">
        <f>+B4</f>
        <v>2022</v>
      </c>
      <c r="C55" s="7">
        <f>+C4</f>
        <v>2021</v>
      </c>
      <c r="D55" s="7">
        <f>+D4</f>
        <v>2020</v>
      </c>
    </row>
    <row r="57" spans="1:4" x14ac:dyDescent="0.3">
      <c r="A57" t="s">
        <v>25</v>
      </c>
    </row>
    <row r="58" spans="1:4" x14ac:dyDescent="0.3">
      <c r="A58" s="1" t="s">
        <v>26</v>
      </c>
      <c r="B58" s="12">
        <v>23646</v>
      </c>
      <c r="C58" s="12">
        <v>34940</v>
      </c>
      <c r="D58" s="12">
        <v>38016</v>
      </c>
    </row>
    <row r="59" spans="1:4" x14ac:dyDescent="0.3">
      <c r="A59" s="1" t="s">
        <v>27</v>
      </c>
      <c r="B59" s="12">
        <v>24658</v>
      </c>
      <c r="C59" s="12">
        <v>27699</v>
      </c>
      <c r="D59" s="12">
        <v>52927</v>
      </c>
    </row>
    <row r="60" spans="1:4" x14ac:dyDescent="0.3">
      <c r="A60" s="1" t="s">
        <v>28</v>
      </c>
      <c r="B60" s="12">
        <v>28184</v>
      </c>
      <c r="C60" s="12">
        <v>26278</v>
      </c>
      <c r="D60" s="12">
        <v>16120</v>
      </c>
    </row>
    <row r="61" spans="1:4" x14ac:dyDescent="0.3">
      <c r="A61" s="1" t="s">
        <v>29</v>
      </c>
      <c r="B61" s="12">
        <v>4946</v>
      </c>
      <c r="C61" s="12">
        <v>6580</v>
      </c>
      <c r="D61" s="12">
        <v>4061</v>
      </c>
    </row>
    <row r="62" spans="1:4" x14ac:dyDescent="0.3">
      <c r="A62" s="1" t="s">
        <v>47</v>
      </c>
      <c r="B62" s="12">
        <v>32748</v>
      </c>
      <c r="C62" s="12">
        <v>25228</v>
      </c>
      <c r="D62" s="12">
        <v>21325</v>
      </c>
    </row>
    <row r="63" spans="1:4" x14ac:dyDescent="0.3">
      <c r="A63" s="1" t="s">
        <v>30</v>
      </c>
      <c r="B63" s="12">
        <v>21223</v>
      </c>
      <c r="C63" s="12">
        <v>14111</v>
      </c>
      <c r="D63" s="12">
        <v>11264</v>
      </c>
    </row>
    <row r="64" spans="1:4" x14ac:dyDescent="0.3">
      <c r="A64" s="8" t="s">
        <v>31</v>
      </c>
      <c r="B64" s="13">
        <f>+SUM(B58:B63)</f>
        <v>135405</v>
      </c>
      <c r="C64" s="13">
        <f t="shared" ref="C64:D64" si="25">+SUM(C58:C63)</f>
        <v>134836</v>
      </c>
      <c r="D64" s="13">
        <f t="shared" si="25"/>
        <v>143713</v>
      </c>
    </row>
    <row r="65" spans="1:4" x14ac:dyDescent="0.3">
      <c r="A65" t="s">
        <v>48</v>
      </c>
      <c r="B65" s="12"/>
      <c r="C65" s="12"/>
      <c r="D65" s="12"/>
    </row>
    <row r="66" spans="1:4" x14ac:dyDescent="0.3">
      <c r="A66" s="1" t="s">
        <v>27</v>
      </c>
      <c r="B66" s="12">
        <v>120805</v>
      </c>
      <c r="C66" s="12">
        <v>127877</v>
      </c>
      <c r="D66" s="12">
        <v>100887</v>
      </c>
    </row>
    <row r="67" spans="1:4" x14ac:dyDescent="0.3">
      <c r="A67" s="1" t="s">
        <v>32</v>
      </c>
      <c r="B67" s="12">
        <v>42117</v>
      </c>
      <c r="C67" s="12">
        <v>39440</v>
      </c>
      <c r="D67" s="12">
        <v>36766</v>
      </c>
    </row>
    <row r="68" spans="1:4" x14ac:dyDescent="0.3">
      <c r="A68" s="1" t="s">
        <v>49</v>
      </c>
      <c r="B68" s="12">
        <v>54428</v>
      </c>
      <c r="C68" s="12">
        <v>48849</v>
      </c>
      <c r="D68" s="12">
        <v>42522</v>
      </c>
    </row>
    <row r="69" spans="1:4" x14ac:dyDescent="0.3">
      <c r="A69" s="8" t="s">
        <v>50</v>
      </c>
      <c r="B69" s="13">
        <f>+SUM(B66:B68)</f>
        <v>217350</v>
      </c>
      <c r="C69" s="13">
        <f t="shared" ref="C69:D69" si="26">+SUM(C66:C68)</f>
        <v>216166</v>
      </c>
      <c r="D69" s="13">
        <f t="shared" si="26"/>
        <v>180175</v>
      </c>
    </row>
    <row r="70" spans="1:4" ht="15" thickBot="1" x14ac:dyDescent="0.35">
      <c r="A70" s="9" t="s">
        <v>33</v>
      </c>
      <c r="B70" s="14">
        <f>+B64+B69</f>
        <v>352755</v>
      </c>
      <c r="C70" s="14">
        <f t="shared" ref="C70:D70" si="27">+C64+C69</f>
        <v>351002</v>
      </c>
      <c r="D70" s="14">
        <f t="shared" si="27"/>
        <v>323888</v>
      </c>
    </row>
    <row r="71" spans="1:4" ht="15" thickTop="1" x14ac:dyDescent="0.3"/>
    <row r="72" spans="1:4" x14ac:dyDescent="0.3">
      <c r="A72" t="s">
        <v>34</v>
      </c>
    </row>
    <row r="73" spans="1:4" x14ac:dyDescent="0.3">
      <c r="A73" s="1" t="s">
        <v>35</v>
      </c>
      <c r="B73" s="12">
        <v>64115</v>
      </c>
      <c r="C73" s="12">
        <v>54763</v>
      </c>
      <c r="D73" s="12">
        <v>42296</v>
      </c>
    </row>
    <row r="74" spans="1:4" x14ac:dyDescent="0.3">
      <c r="A74" s="1" t="s">
        <v>36</v>
      </c>
      <c r="B74" s="12">
        <v>60845</v>
      </c>
      <c r="C74" s="12">
        <v>47493</v>
      </c>
      <c r="D74" s="12">
        <v>42684</v>
      </c>
    </row>
    <row r="75" spans="1:4" x14ac:dyDescent="0.3">
      <c r="A75" s="1" t="s">
        <v>37</v>
      </c>
      <c r="B75" s="12">
        <v>7912</v>
      </c>
      <c r="C75" s="12">
        <v>7612</v>
      </c>
      <c r="D75" s="12">
        <v>6643</v>
      </c>
    </row>
    <row r="76" spans="1:4" x14ac:dyDescent="0.3">
      <c r="A76" s="1" t="s">
        <v>38</v>
      </c>
      <c r="B76" s="12">
        <v>9982</v>
      </c>
      <c r="C76" s="12">
        <v>6000</v>
      </c>
      <c r="D76" s="12">
        <v>4996</v>
      </c>
    </row>
    <row r="77" spans="1:4" x14ac:dyDescent="0.3">
      <c r="A77" s="1" t="s">
        <v>39</v>
      </c>
      <c r="B77" s="12">
        <v>11128</v>
      </c>
      <c r="C77" s="12">
        <v>9613</v>
      </c>
      <c r="D77" s="12">
        <v>8773</v>
      </c>
    </row>
    <row r="78" spans="1:4" x14ac:dyDescent="0.3">
      <c r="A78" s="8" t="s">
        <v>40</v>
      </c>
      <c r="B78" s="13">
        <f>+SUM(B73:B77)</f>
        <v>153982</v>
      </c>
      <c r="C78" s="13">
        <f t="shared" ref="C78:D78" si="28">+SUM(C73:C77)</f>
        <v>125481</v>
      </c>
      <c r="D78" s="13">
        <f t="shared" si="28"/>
        <v>105392</v>
      </c>
    </row>
    <row r="79" spans="1:4" x14ac:dyDescent="0.3">
      <c r="A79" t="s">
        <v>51</v>
      </c>
      <c r="B79" s="12"/>
      <c r="C79" s="12"/>
      <c r="D79" s="12"/>
    </row>
    <row r="80" spans="1:4" x14ac:dyDescent="0.3">
      <c r="A80" s="1" t="s">
        <v>37</v>
      </c>
      <c r="B80" s="12"/>
      <c r="C80" s="12"/>
      <c r="D80" s="12"/>
    </row>
    <row r="81" spans="1:4" x14ac:dyDescent="0.3">
      <c r="A81" s="1" t="s">
        <v>39</v>
      </c>
      <c r="B81" s="12">
        <v>98959</v>
      </c>
      <c r="C81" s="12">
        <v>109106</v>
      </c>
      <c r="D81" s="12">
        <v>98667</v>
      </c>
    </row>
    <row r="82" spans="1:4" x14ac:dyDescent="0.3">
      <c r="A82" s="1" t="s">
        <v>52</v>
      </c>
      <c r="B82" s="12">
        <v>49142</v>
      </c>
      <c r="C82" s="12">
        <v>53325</v>
      </c>
      <c r="D82" s="12">
        <v>54490</v>
      </c>
    </row>
    <row r="83" spans="1:4" x14ac:dyDescent="0.3">
      <c r="A83" s="22" t="s">
        <v>53</v>
      </c>
      <c r="B83" s="21">
        <f>+B81+B82</f>
        <v>148101</v>
      </c>
      <c r="C83" s="21">
        <f t="shared" ref="C83:D83" si="29">+C81+C82</f>
        <v>162431</v>
      </c>
      <c r="D83" s="21">
        <f t="shared" si="29"/>
        <v>153157</v>
      </c>
    </row>
    <row r="84" spans="1:4" x14ac:dyDescent="0.3">
      <c r="A84" s="8" t="s">
        <v>41</v>
      </c>
      <c r="B84" s="13">
        <f>+B78+B83</f>
        <v>302083</v>
      </c>
      <c r="C84" s="13">
        <f t="shared" ref="C84:D84" si="30">+C78+C83</f>
        <v>287912</v>
      </c>
      <c r="D84" s="13">
        <f t="shared" si="30"/>
        <v>258549</v>
      </c>
    </row>
    <row r="85" spans="1:4" x14ac:dyDescent="0.3">
      <c r="B85" s="12"/>
      <c r="C85" s="12"/>
      <c r="D85" s="12"/>
    </row>
    <row r="86" spans="1:4" x14ac:dyDescent="0.3">
      <c r="A86" t="s">
        <v>42</v>
      </c>
      <c r="B86" s="12"/>
      <c r="C86" s="12"/>
      <c r="D86" s="12"/>
    </row>
    <row r="87" spans="1:4" x14ac:dyDescent="0.3">
      <c r="A87" s="1" t="s">
        <v>54</v>
      </c>
      <c r="B87" s="12">
        <v>64849</v>
      </c>
      <c r="C87" s="12">
        <v>57365</v>
      </c>
      <c r="D87" s="12">
        <v>50779</v>
      </c>
    </row>
    <row r="88" spans="1:4" x14ac:dyDescent="0.3">
      <c r="A88" s="1" t="s">
        <v>43</v>
      </c>
      <c r="B88" s="12">
        <v>-3068</v>
      </c>
      <c r="C88" s="12">
        <v>5562</v>
      </c>
      <c r="D88" s="12">
        <v>14966</v>
      </c>
    </row>
    <row r="89" spans="1:4" x14ac:dyDescent="0.3">
      <c r="A89" s="1" t="s">
        <v>44</v>
      </c>
      <c r="B89" s="12">
        <v>-11109</v>
      </c>
      <c r="C89" s="12">
        <v>163</v>
      </c>
      <c r="D89" s="12">
        <v>-406</v>
      </c>
    </row>
    <row r="90" spans="1:4" x14ac:dyDescent="0.3">
      <c r="A90" s="8" t="s">
        <v>45</v>
      </c>
      <c r="B90" s="13">
        <f>+SUM(B87:B89)</f>
        <v>50672</v>
      </c>
      <c r="C90" s="13">
        <f t="shared" ref="C90:D90" si="31">+SUM(C87:C89)</f>
        <v>63090</v>
      </c>
      <c r="D90" s="13">
        <f t="shared" si="31"/>
        <v>65339</v>
      </c>
    </row>
    <row r="91" spans="1:4" ht="15" thickBot="1" x14ac:dyDescent="0.35">
      <c r="A91" s="9" t="s">
        <v>46</v>
      </c>
      <c r="B91" s="14">
        <f>+B90+B84</f>
        <v>352755</v>
      </c>
      <c r="C91" s="14">
        <f t="shared" ref="C91:D91" si="32">+C90+C84</f>
        <v>351002</v>
      </c>
      <c r="D91" s="14">
        <f t="shared" si="32"/>
        <v>323888</v>
      </c>
    </row>
    <row r="92" spans="1:4" ht="15" thickTop="1" x14ac:dyDescent="0.3">
      <c r="A92" s="7"/>
      <c r="B92" s="31"/>
      <c r="C92" s="31"/>
      <c r="D92" s="31"/>
    </row>
    <row r="93" spans="1:4" x14ac:dyDescent="0.3">
      <c r="A93" s="28" t="s">
        <v>153</v>
      </c>
      <c r="B93" s="30"/>
      <c r="C93" s="30"/>
      <c r="D93" s="30"/>
    </row>
    <row r="94" spans="1:4" x14ac:dyDescent="0.3">
      <c r="A94" t="s">
        <v>155</v>
      </c>
      <c r="B94" s="38">
        <f t="shared" ref="B94:C94" si="33">(B70-C70)/C70</f>
        <v>4.9942735369029236E-3</v>
      </c>
      <c r="C94" s="38">
        <f t="shared" si="33"/>
        <v>8.3714123400681711E-2</v>
      </c>
      <c r="D94" s="40" t="s">
        <v>157</v>
      </c>
    </row>
    <row r="95" spans="1:4" x14ac:dyDescent="0.3">
      <c r="A95" s="33" t="str">
        <f>A64</f>
        <v>Total current assets</v>
      </c>
      <c r="B95" s="38">
        <f t="shared" ref="B95:C95" si="34">(B64-C64)/C64</f>
        <v>4.2199412619775131E-3</v>
      </c>
      <c r="C95" s="38">
        <f t="shared" si="34"/>
        <v>-6.176894226687913E-2</v>
      </c>
      <c r="D95" s="40" t="s">
        <v>157</v>
      </c>
    </row>
    <row r="96" spans="1:4" x14ac:dyDescent="0.3">
      <c r="A96" s="33" t="str">
        <f>A69</f>
        <v>Total non current assets</v>
      </c>
      <c r="B96" s="39">
        <f t="shared" ref="B96:C96" si="35">(B69-C69)/C69</f>
        <v>5.4772720964443994E-3</v>
      </c>
      <c r="C96" s="39">
        <f t="shared" si="35"/>
        <v>0.19975579297904814</v>
      </c>
      <c r="D96" s="40" t="s">
        <v>157</v>
      </c>
    </row>
    <row r="98" spans="1:4" x14ac:dyDescent="0.3">
      <c r="A98" t="str">
        <f>A84</f>
        <v>Total liabilities</v>
      </c>
      <c r="B98" s="23">
        <f t="shared" ref="B98:C98" si="36">(B84-C84)/C84</f>
        <v>4.9219900525160468E-2</v>
      </c>
      <c r="C98" s="23">
        <f t="shared" si="36"/>
        <v>0.11356841449783213</v>
      </c>
      <c r="D98" s="25" t="s">
        <v>157</v>
      </c>
    </row>
    <row r="99" spans="1:4" x14ac:dyDescent="0.3">
      <c r="A99" s="33" t="str">
        <f>A78</f>
        <v>Total current liabilities</v>
      </c>
      <c r="B99" s="23">
        <f t="shared" ref="B99:C99" si="37">(B78-C78)/C78</f>
        <v>0.22713398841258836</v>
      </c>
      <c r="C99" s="23">
        <f t="shared" si="37"/>
        <v>0.19061219067860938</v>
      </c>
      <c r="D99" s="25" t="s">
        <v>157</v>
      </c>
    </row>
    <row r="100" spans="1:4" x14ac:dyDescent="0.3">
      <c r="A100" s="33" t="str">
        <f>A83</f>
        <v>Total non current liabilities</v>
      </c>
      <c r="B100" s="23">
        <f t="shared" ref="B100:C100" si="38">(B83-C83)/C83</f>
        <v>-8.8222075835277747E-2</v>
      </c>
      <c r="C100" s="23">
        <f t="shared" si="38"/>
        <v>6.0552243775994566E-2</v>
      </c>
      <c r="D100" s="25" t="s">
        <v>157</v>
      </c>
    </row>
    <row r="102" spans="1:4" x14ac:dyDescent="0.3">
      <c r="A102" t="str">
        <f>A90</f>
        <v>Total shareholders’ equity</v>
      </c>
      <c r="B102" s="23">
        <f t="shared" ref="B102:C102" si="39">(B90-C90)/C90</f>
        <v>-0.19682992550324932</v>
      </c>
      <c r="C102" s="23">
        <f t="shared" si="39"/>
        <v>-3.4420483937617659E-2</v>
      </c>
      <c r="D102" s="25" t="s">
        <v>157</v>
      </c>
    </row>
    <row r="103" spans="1:4" x14ac:dyDescent="0.3">
      <c r="B103" s="23"/>
      <c r="C103" s="23"/>
      <c r="D103" s="25"/>
    </row>
    <row r="104" spans="1:4" x14ac:dyDescent="0.3">
      <c r="A104" t="str">
        <f>A91</f>
        <v>Total liabilities and shareholders’ equity</v>
      </c>
      <c r="B104" s="41">
        <f t="shared" ref="B104:C104" si="40">(B91-C91)/C91</f>
        <v>4.9942735369029236E-3</v>
      </c>
      <c r="C104" s="41">
        <f t="shared" si="40"/>
        <v>8.3714123400681711E-2</v>
      </c>
      <c r="D104" s="41" t="s">
        <v>157</v>
      </c>
    </row>
    <row r="106" spans="1:4" x14ac:dyDescent="0.3">
      <c r="A106" s="55" t="s">
        <v>55</v>
      </c>
      <c r="B106" s="55"/>
      <c r="C106" s="55"/>
      <c r="D106" s="55"/>
    </row>
    <row r="107" spans="1:4" x14ac:dyDescent="0.3">
      <c r="B107" s="54" t="s">
        <v>23</v>
      </c>
      <c r="C107" s="54"/>
      <c r="D107" s="54"/>
    </row>
    <row r="108" spans="1:4" x14ac:dyDescent="0.3">
      <c r="B108" s="7">
        <f>+B55</f>
        <v>2022</v>
      </c>
      <c r="C108" s="7">
        <f>+C55</f>
        <v>2021</v>
      </c>
      <c r="D108" s="7">
        <f>+D55</f>
        <v>2020</v>
      </c>
    </row>
    <row r="110" spans="1:4" x14ac:dyDescent="0.3">
      <c r="A110" s="7" t="s">
        <v>56</v>
      </c>
      <c r="B110" s="15"/>
      <c r="C110" s="15"/>
      <c r="D110" s="15"/>
    </row>
    <row r="111" spans="1:4" x14ac:dyDescent="0.3">
      <c r="A111" t="s">
        <v>57</v>
      </c>
      <c r="B111" s="12">
        <f>+B22</f>
        <v>99803</v>
      </c>
      <c r="C111" s="12">
        <f>+C22</f>
        <v>94680</v>
      </c>
      <c r="D111" s="12">
        <f>+D22</f>
        <v>57411</v>
      </c>
    </row>
    <row r="112" spans="1:4" x14ac:dyDescent="0.3">
      <c r="A112" s="11" t="s">
        <v>18</v>
      </c>
      <c r="B112" s="15"/>
      <c r="C112" s="15"/>
      <c r="D112" s="15"/>
    </row>
    <row r="113" spans="1:4" x14ac:dyDescent="0.3">
      <c r="A113" s="1" t="s">
        <v>58</v>
      </c>
      <c r="B113" s="12"/>
      <c r="C113" s="12"/>
      <c r="D113" s="12"/>
    </row>
    <row r="114" spans="1:4" x14ac:dyDescent="0.3">
      <c r="A114" s="3" t="s">
        <v>59</v>
      </c>
      <c r="B114" s="12">
        <v>11104</v>
      </c>
      <c r="C114" s="12">
        <v>11284</v>
      </c>
      <c r="D114" s="12">
        <v>11056</v>
      </c>
    </row>
    <row r="115" spans="1:4" x14ac:dyDescent="0.3">
      <c r="A115" s="3" t="s">
        <v>83</v>
      </c>
      <c r="B115" s="12">
        <v>9038</v>
      </c>
      <c r="C115" s="12">
        <v>7906</v>
      </c>
      <c r="D115" s="12">
        <v>6829</v>
      </c>
    </row>
    <row r="116" spans="1:4" x14ac:dyDescent="0.3">
      <c r="A116" s="3" t="s">
        <v>60</v>
      </c>
      <c r="B116" s="12">
        <v>895</v>
      </c>
      <c r="C116" s="12">
        <v>-4774</v>
      </c>
      <c r="D116" s="12">
        <v>-215</v>
      </c>
    </row>
    <row r="117" spans="1:4" x14ac:dyDescent="0.3">
      <c r="A117" s="3" t="s">
        <v>61</v>
      </c>
      <c r="B117" s="12">
        <v>111</v>
      </c>
      <c r="C117" s="12">
        <v>-147</v>
      </c>
      <c r="D117" s="12">
        <v>-97</v>
      </c>
    </row>
    <row r="118" spans="1:4" x14ac:dyDescent="0.3">
      <c r="A118" t="s">
        <v>62</v>
      </c>
      <c r="B118" s="12"/>
      <c r="C118" s="12"/>
      <c r="D118" s="12"/>
    </row>
    <row r="119" spans="1:4" x14ac:dyDescent="0.3">
      <c r="A119" s="1" t="s">
        <v>28</v>
      </c>
      <c r="B119" s="12">
        <v>-1823</v>
      </c>
      <c r="C119" s="12">
        <v>-10125</v>
      </c>
      <c r="D119" s="12">
        <v>6917</v>
      </c>
    </row>
    <row r="120" spans="1:4" x14ac:dyDescent="0.3">
      <c r="A120" s="1" t="s">
        <v>29</v>
      </c>
      <c r="B120" s="12">
        <v>1484</v>
      </c>
      <c r="C120" s="12">
        <v>-2642</v>
      </c>
      <c r="D120" s="12">
        <v>-127</v>
      </c>
    </row>
    <row r="121" spans="1:4" x14ac:dyDescent="0.3">
      <c r="A121" s="1" t="s">
        <v>47</v>
      </c>
      <c r="B121" s="12">
        <v>-7520</v>
      </c>
      <c r="C121" s="12">
        <v>-3903</v>
      </c>
      <c r="D121" s="12">
        <v>1553</v>
      </c>
    </row>
    <row r="122" spans="1:4" x14ac:dyDescent="0.3">
      <c r="A122" s="1" t="s">
        <v>84</v>
      </c>
      <c r="B122" s="12">
        <v>-6499</v>
      </c>
      <c r="C122" s="12">
        <v>-8042</v>
      </c>
      <c r="D122" s="12">
        <v>-9588</v>
      </c>
    </row>
    <row r="123" spans="1:4" x14ac:dyDescent="0.3">
      <c r="A123" s="1" t="s">
        <v>35</v>
      </c>
      <c r="B123" s="12">
        <v>9448</v>
      </c>
      <c r="C123" s="12">
        <v>12326</v>
      </c>
      <c r="D123" s="12">
        <v>-4062</v>
      </c>
    </row>
    <row r="124" spans="1:4" x14ac:dyDescent="0.3">
      <c r="A124" s="1" t="s">
        <v>37</v>
      </c>
      <c r="B124" s="12">
        <v>478</v>
      </c>
      <c r="C124" s="12">
        <v>1676</v>
      </c>
      <c r="D124" s="12">
        <v>2081</v>
      </c>
    </row>
    <row r="125" spans="1:4" x14ac:dyDescent="0.3">
      <c r="A125" s="1" t="s">
        <v>85</v>
      </c>
      <c r="B125" s="12">
        <v>5632</v>
      </c>
      <c r="C125" s="12">
        <v>5799</v>
      </c>
      <c r="D125" s="12">
        <v>8916</v>
      </c>
    </row>
    <row r="126" spans="1:4" x14ac:dyDescent="0.3">
      <c r="A126" s="8" t="s">
        <v>63</v>
      </c>
      <c r="B126" s="13">
        <f>+SUM(B111:B125)</f>
        <v>122151</v>
      </c>
      <c r="C126" s="13">
        <f t="shared" ref="C126:D126" si="41">+SUM(C111:C125)</f>
        <v>104038</v>
      </c>
      <c r="D126" s="13">
        <f t="shared" si="41"/>
        <v>80674</v>
      </c>
    </row>
    <row r="127" spans="1:4" x14ac:dyDescent="0.3">
      <c r="A127" s="7" t="s">
        <v>64</v>
      </c>
      <c r="B127" s="12"/>
      <c r="C127" s="12"/>
      <c r="D127" s="12"/>
    </row>
    <row r="128" spans="1:4" x14ac:dyDescent="0.3">
      <c r="A128" s="1" t="s">
        <v>65</v>
      </c>
      <c r="B128" s="12">
        <v>-76923</v>
      </c>
      <c r="C128" s="12">
        <v>-109558</v>
      </c>
      <c r="D128" s="12">
        <v>-114938</v>
      </c>
    </row>
    <row r="129" spans="1:4" x14ac:dyDescent="0.3">
      <c r="A129" s="1" t="s">
        <v>66</v>
      </c>
      <c r="B129" s="12">
        <v>29917</v>
      </c>
      <c r="C129" s="12">
        <v>59023</v>
      </c>
      <c r="D129" s="12">
        <v>69918</v>
      </c>
    </row>
    <row r="130" spans="1:4" x14ac:dyDescent="0.3">
      <c r="A130" s="1" t="s">
        <v>67</v>
      </c>
      <c r="B130" s="12">
        <v>37446</v>
      </c>
      <c r="C130" s="12">
        <v>47460</v>
      </c>
      <c r="D130" s="12">
        <v>50473</v>
      </c>
    </row>
    <row r="131" spans="1:4" x14ac:dyDescent="0.3">
      <c r="A131" s="27" t="s">
        <v>68</v>
      </c>
      <c r="B131" s="12">
        <v>-10708</v>
      </c>
      <c r="C131" s="12">
        <v>-11085</v>
      </c>
      <c r="D131" s="12">
        <v>-7309</v>
      </c>
    </row>
    <row r="132" spans="1:4" x14ac:dyDescent="0.3">
      <c r="A132" s="1" t="s">
        <v>69</v>
      </c>
      <c r="B132" s="12">
        <v>-306</v>
      </c>
      <c r="C132" s="12">
        <v>-33</v>
      </c>
      <c r="D132" s="12">
        <v>-1524</v>
      </c>
    </row>
    <row r="133" spans="1:4" x14ac:dyDescent="0.3">
      <c r="A133" s="1" t="s">
        <v>61</v>
      </c>
      <c r="B133" s="12">
        <v>-1780</v>
      </c>
      <c r="C133" s="12">
        <v>-352</v>
      </c>
      <c r="D133" s="12">
        <v>-909</v>
      </c>
    </row>
    <row r="134" spans="1:4" x14ac:dyDescent="0.3">
      <c r="A134" s="8" t="s">
        <v>70</v>
      </c>
      <c r="B134" s="13">
        <f>+SUM(B128:B133)</f>
        <v>-22354</v>
      </c>
      <c r="C134" s="13">
        <f t="shared" ref="C134:D134" si="42">+SUM(C128:C133)</f>
        <v>-14545</v>
      </c>
      <c r="D134" s="13">
        <f t="shared" si="42"/>
        <v>-4289</v>
      </c>
    </row>
    <row r="135" spans="1:4" x14ac:dyDescent="0.3">
      <c r="A135" s="7" t="s">
        <v>71</v>
      </c>
      <c r="B135" s="12"/>
      <c r="C135" s="12"/>
      <c r="D135" s="12"/>
    </row>
    <row r="136" spans="1:4" x14ac:dyDescent="0.3">
      <c r="A136" s="1" t="s">
        <v>86</v>
      </c>
      <c r="B136" s="12">
        <v>-6223</v>
      </c>
      <c r="C136" s="12">
        <v>-6556</v>
      </c>
      <c r="D136" s="12">
        <v>-3634</v>
      </c>
    </row>
    <row r="137" spans="1:4" x14ac:dyDescent="0.3">
      <c r="A137" s="1" t="s">
        <v>72</v>
      </c>
      <c r="B137" s="12">
        <v>-14841</v>
      </c>
      <c r="C137" s="12">
        <v>-14467</v>
      </c>
      <c r="D137" s="12">
        <v>-14081</v>
      </c>
    </row>
    <row r="138" spans="1:4" x14ac:dyDescent="0.3">
      <c r="A138" s="1" t="s">
        <v>73</v>
      </c>
      <c r="B138" s="12">
        <v>-89402</v>
      </c>
      <c r="C138" s="12">
        <v>-85971</v>
      </c>
      <c r="D138" s="12">
        <v>-72358</v>
      </c>
    </row>
    <row r="139" spans="1:4" x14ac:dyDescent="0.3">
      <c r="A139" s="1" t="s">
        <v>74</v>
      </c>
      <c r="B139" s="12">
        <v>5465</v>
      </c>
      <c r="C139" s="12">
        <v>20393</v>
      </c>
      <c r="D139" s="12">
        <v>16091</v>
      </c>
    </row>
    <row r="140" spans="1:4" x14ac:dyDescent="0.3">
      <c r="A140" s="1" t="s">
        <v>75</v>
      </c>
      <c r="B140" s="12">
        <v>-9543</v>
      </c>
      <c r="C140" s="12">
        <v>-8750</v>
      </c>
      <c r="D140" s="12">
        <v>-12629</v>
      </c>
    </row>
    <row r="141" spans="1:4" x14ac:dyDescent="0.3">
      <c r="A141" s="1" t="s">
        <v>76</v>
      </c>
      <c r="B141" s="12">
        <v>3955</v>
      </c>
      <c r="C141" s="12">
        <v>1022</v>
      </c>
      <c r="D141" s="12">
        <v>-963</v>
      </c>
    </row>
    <row r="142" spans="1:4" x14ac:dyDescent="0.3">
      <c r="A142" s="1" t="s">
        <v>61</v>
      </c>
      <c r="B142" s="12">
        <v>-160</v>
      </c>
      <c r="C142" s="12">
        <v>976</v>
      </c>
      <c r="D142" s="12">
        <v>754</v>
      </c>
    </row>
    <row r="143" spans="1:4" x14ac:dyDescent="0.3">
      <c r="A143" s="8" t="s">
        <v>77</v>
      </c>
      <c r="B143" s="13">
        <f>+SUM(B136:B142)</f>
        <v>-110749</v>
      </c>
      <c r="C143" s="13">
        <f t="shared" ref="C143:D143" si="43">+SUM(C136:C142)</f>
        <v>-93353</v>
      </c>
      <c r="D143" s="13">
        <f t="shared" si="43"/>
        <v>-86820</v>
      </c>
    </row>
    <row r="144" spans="1:4" x14ac:dyDescent="0.3">
      <c r="A144" s="8" t="s">
        <v>78</v>
      </c>
      <c r="B144" s="13">
        <f>+B126+B134+B143</f>
        <v>-10952</v>
      </c>
      <c r="C144" s="13">
        <f t="shared" ref="C144:D144" si="44">+C126+C134+C143</f>
        <v>-3860</v>
      </c>
      <c r="D144" s="13">
        <f t="shared" si="44"/>
        <v>-10435</v>
      </c>
    </row>
    <row r="145" spans="1:4" ht="15" thickBot="1" x14ac:dyDescent="0.35">
      <c r="A145" s="9" t="s">
        <v>79</v>
      </c>
      <c r="B145" s="14">
        <v>24977</v>
      </c>
      <c r="C145" s="14">
        <v>35929</v>
      </c>
      <c r="D145" s="14">
        <v>39789</v>
      </c>
    </row>
    <row r="146" spans="1:4" ht="15" thickTop="1" x14ac:dyDescent="0.3">
      <c r="B146" s="12"/>
      <c r="C146" s="12"/>
      <c r="D146" s="12"/>
    </row>
    <row r="147" spans="1:4" x14ac:dyDescent="0.3">
      <c r="A147" t="s">
        <v>80</v>
      </c>
      <c r="B147" s="12"/>
      <c r="C147" s="12"/>
      <c r="D147" s="12"/>
    </row>
    <row r="148" spans="1:4" x14ac:dyDescent="0.3">
      <c r="A148" t="s">
        <v>81</v>
      </c>
      <c r="B148" s="12">
        <v>19573</v>
      </c>
      <c r="C148" s="12">
        <v>25385</v>
      </c>
      <c r="D148" s="12">
        <v>9501</v>
      </c>
    </row>
    <row r="149" spans="1:4" x14ac:dyDescent="0.3">
      <c r="A149" t="s">
        <v>82</v>
      </c>
      <c r="B149" s="12">
        <v>2865</v>
      </c>
      <c r="C149" s="12">
        <v>2687</v>
      </c>
      <c r="D149" s="12">
        <v>3002</v>
      </c>
    </row>
    <row r="151" spans="1:4" x14ac:dyDescent="0.3">
      <c r="A151" s="42" t="str">
        <f>A30</f>
        <v>Margins</v>
      </c>
      <c r="B151" s="29"/>
      <c r="C151" s="29"/>
      <c r="D151" s="29"/>
    </row>
    <row r="152" spans="1:4" x14ac:dyDescent="0.3">
      <c r="A152" t="s">
        <v>158</v>
      </c>
      <c r="B152" s="37">
        <f>-B131/B8</f>
        <v>2.7155058732831552E-2</v>
      </c>
      <c r="C152" s="37">
        <f t="shared" ref="C152:D152" si="45">-C131/C8</f>
        <v>3.0302036264033657E-2</v>
      </c>
      <c r="D152" s="37">
        <f t="shared" si="45"/>
        <v>2.6625138881299748E-2</v>
      </c>
    </row>
    <row r="153" spans="1:4" x14ac:dyDescent="0.3">
      <c r="A153" t="s">
        <v>159</v>
      </c>
      <c r="B153" s="23">
        <f>-B131/B67</f>
        <v>0.25424412944891611</v>
      </c>
      <c r="C153" s="23">
        <f t="shared" ref="C153:D153" si="46">-C131/C67</f>
        <v>0.28105983772819471</v>
      </c>
      <c r="D153" s="23">
        <f t="shared" si="46"/>
        <v>0.19879780231735844</v>
      </c>
    </row>
    <row r="157" spans="1:4" x14ac:dyDescent="0.3">
      <c r="A157" s="48" t="s">
        <v>123</v>
      </c>
      <c r="B157" s="49">
        <f>B126+B131+B139</f>
        <v>116908</v>
      </c>
      <c r="C157" s="49">
        <f t="shared" ref="C157:D157" si="47">C126+C131+C139</f>
        <v>113346</v>
      </c>
      <c r="D157" s="49">
        <f t="shared" si="47"/>
        <v>89456</v>
      </c>
    </row>
  </sheetData>
  <mergeCells count="6">
    <mergeCell ref="B3:D3"/>
    <mergeCell ref="B54:D54"/>
    <mergeCell ref="B107:D107"/>
    <mergeCell ref="A2:D2"/>
    <mergeCell ref="A53:D53"/>
    <mergeCell ref="A106:D10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selection activeCell="G1" sqref="G1"/>
    </sheetView>
  </sheetViews>
  <sheetFormatPr defaultColWidth="8.77734375" defaultRowHeight="14.4" x14ac:dyDescent="0.3"/>
  <cols>
    <col min="1" max="1" width="6.33203125" customWidth="1"/>
    <col min="2" max="2" width="44.77734375" customWidth="1"/>
    <col min="3" max="5" width="16.33203125" bestFit="1" customWidth="1"/>
    <col min="7" max="7" width="36.44140625" customWidth="1"/>
    <col min="16" max="18" width="11.109375" bestFit="1" customWidth="1"/>
  </cols>
  <sheetData>
    <row r="1" spans="1:18" ht="60" customHeight="1" x14ac:dyDescent="0.5">
      <c r="A1" s="6"/>
      <c r="B1" s="20" t="s">
        <v>0</v>
      </c>
      <c r="C1" s="19"/>
      <c r="D1" s="19"/>
      <c r="E1" s="19"/>
      <c r="F1" s="19"/>
      <c r="G1" s="59" t="s">
        <v>181</v>
      </c>
      <c r="H1" s="19"/>
      <c r="I1" s="19"/>
      <c r="J1" s="19"/>
    </row>
    <row r="2" spans="1:18" x14ac:dyDescent="0.3">
      <c r="C2" s="54" t="s">
        <v>23</v>
      </c>
      <c r="D2" s="54"/>
      <c r="E2" s="54"/>
    </row>
    <row r="3" spans="1:18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8" x14ac:dyDescent="0.3">
      <c r="A4" s="18">
        <v>1</v>
      </c>
      <c r="B4" s="7" t="s">
        <v>99</v>
      </c>
    </row>
    <row r="5" spans="1:18" x14ac:dyDescent="0.3">
      <c r="A5" s="18">
        <f>+A4+0.1</f>
        <v>1.1000000000000001</v>
      </c>
      <c r="B5" s="1" t="s">
        <v>100</v>
      </c>
      <c r="C5" s="46">
        <f>'Financial Statements'!B64/'Financial Statements'!B78</f>
        <v>0.87935602862672257</v>
      </c>
      <c r="D5" s="46">
        <f>'Financial Statements'!C64/'Financial Statements'!C78</f>
        <v>1.0745531195957954</v>
      </c>
      <c r="E5" s="46">
        <f>'Financial Statements'!D64/'Financial Statements'!D78</f>
        <v>1.3636044481554577</v>
      </c>
    </row>
    <row r="6" spans="1:18" x14ac:dyDescent="0.3">
      <c r="A6" s="18">
        <f t="shared" ref="A6:A13" si="0">+A5+0.1</f>
        <v>1.2000000000000002</v>
      </c>
      <c r="B6" s="1" t="s">
        <v>101</v>
      </c>
      <c r="C6" s="46">
        <f>('Financial Statements'!B58+'Financial Statements'!B59+'Financial Statements'!B60)/'Financial Statements'!B78</f>
        <v>0.49673338442155579</v>
      </c>
      <c r="D6" s="46">
        <f>('Financial Statements'!C58+'Financial Statements'!C59+'Financial Statements'!C60)/'Financial Statements'!C78</f>
        <v>0.70860927152317876</v>
      </c>
      <c r="E6" s="46">
        <f>('Financial Statements'!D58+'Financial Statements'!D59+'Financial Statements'!D60)/'Financial Statements'!D78</f>
        <v>1.0158550933657204</v>
      </c>
    </row>
    <row r="7" spans="1:18" x14ac:dyDescent="0.3">
      <c r="A7" s="18">
        <f t="shared" si="0"/>
        <v>1.3000000000000003</v>
      </c>
      <c r="B7" s="1" t="s">
        <v>102</v>
      </c>
      <c r="C7" s="46">
        <f>('Financial Statements'!B58)/'Financial Statements'!B78</f>
        <v>0.15356340351469652</v>
      </c>
      <c r="D7" s="46">
        <f>('Financial Statements'!C58)/'Financial Statements'!C78</f>
        <v>0.27844853005634318</v>
      </c>
      <c r="E7" s="46">
        <f>('Financial Statements'!D58)/'Financial Statements'!D78</f>
        <v>0.36071049035979963</v>
      </c>
    </row>
    <row r="8" spans="1:18" x14ac:dyDescent="0.3">
      <c r="A8" s="18">
        <f t="shared" si="0"/>
        <v>1.4000000000000004</v>
      </c>
      <c r="B8" s="1" t="s">
        <v>103</v>
      </c>
      <c r="C8" s="50">
        <f>'Financial Statements'!B64/(('Financial Statements'!B126-'Financial Statements'!B114)/365)</f>
        <v>445.0622259043468</v>
      </c>
      <c r="D8" s="50">
        <f>'Financial Statements'!C64/(('Financial Statements'!C126-'Financial Statements'!C114)/365)</f>
        <v>530.59857256829889</v>
      </c>
      <c r="E8" s="50">
        <f>'Financial Statements'!D64/(('Financial Statements'!D126-'Financial Statements'!D114)/365)</f>
        <v>753.47244965382515</v>
      </c>
      <c r="G8" s="58" t="s">
        <v>171</v>
      </c>
      <c r="N8" s="54" t="s">
        <v>160</v>
      </c>
      <c r="O8" s="54"/>
      <c r="P8" s="15">
        <f>P9-P10</f>
        <v>14600</v>
      </c>
      <c r="Q8" s="15">
        <f>Q9-Q10</f>
        <v>6959</v>
      </c>
      <c r="R8" s="15">
        <f>R9-R10</f>
        <v>42826</v>
      </c>
    </row>
    <row r="9" spans="1:18" x14ac:dyDescent="0.3">
      <c r="A9" s="18">
        <f t="shared" si="0"/>
        <v>1.5000000000000004</v>
      </c>
      <c r="B9" s="1" t="s">
        <v>104</v>
      </c>
      <c r="C9" s="46">
        <f>('Financial Statements'!B61/'Financial Statements'!B12)*365</f>
        <v>8.0756980666171607</v>
      </c>
      <c r="D9" s="46">
        <f>('Financial Statements'!C61/'Financial Statements'!C12)*365</f>
        <v>11.27659274770989</v>
      </c>
      <c r="E9" s="46">
        <f>('Financial Statements'!D61/'Financial Statements'!D12)*365</f>
        <v>8.7418833562358831</v>
      </c>
      <c r="N9" s="56" t="s">
        <v>161</v>
      </c>
      <c r="O9" s="56"/>
      <c r="P9" s="12">
        <f>'Financial Statements'!B64</f>
        <v>135405</v>
      </c>
      <c r="Q9" s="12">
        <f>'Financial Statements'!C64</f>
        <v>134836</v>
      </c>
      <c r="R9" s="12">
        <f>'Financial Statements'!D64</f>
        <v>143713</v>
      </c>
    </row>
    <row r="10" spans="1:18" x14ac:dyDescent="0.3">
      <c r="A10" s="18">
        <f t="shared" si="0"/>
        <v>1.6000000000000005</v>
      </c>
      <c r="B10" s="1" t="s">
        <v>105</v>
      </c>
      <c r="C10" s="46">
        <f>'Financial Statements'!B73/('Financial Statements'!B12/365)</f>
        <v>104.68527730310541</v>
      </c>
      <c r="D10" s="46">
        <f>'Financial Statements'!C73/('Financial Statements'!C12/365)</f>
        <v>93.85107122231561</v>
      </c>
      <c r="E10" s="46">
        <f>'Financial Statements'!D73/('Financial Statements'!D12/365)</f>
        <v>91.048189715674184</v>
      </c>
      <c r="N10" s="56" t="s">
        <v>162</v>
      </c>
      <c r="O10" s="56"/>
      <c r="P10" s="12">
        <f>'Financial Statements'!B66</f>
        <v>120805</v>
      </c>
      <c r="Q10" s="12">
        <f>'Financial Statements'!C66</f>
        <v>127877</v>
      </c>
      <c r="R10" s="12">
        <f>'Financial Statements'!D66</f>
        <v>100887</v>
      </c>
    </row>
    <row r="11" spans="1:18" x14ac:dyDescent="0.3">
      <c r="A11" s="18">
        <f t="shared" si="0"/>
        <v>1.7000000000000006</v>
      </c>
      <c r="B11" s="1" t="s">
        <v>106</v>
      </c>
      <c r="C11" s="46">
        <f>'Financial Statements'!B60/('Financial Statements'!B8/365)</f>
        <v>26.087825363656655</v>
      </c>
      <c r="D11" s="46">
        <f>'Financial Statements'!C60/('Financial Statements'!C8/365)</f>
        <v>26.219311841713203</v>
      </c>
      <c r="E11" s="46">
        <f>'Financial Statements'!D60/('Financial Statements'!D8/365)</f>
        <v>21.433437152796753</v>
      </c>
    </row>
    <row r="12" spans="1:18" x14ac:dyDescent="0.3">
      <c r="A12" s="18">
        <f t="shared" si="0"/>
        <v>1.8000000000000007</v>
      </c>
      <c r="B12" s="1" t="s">
        <v>107</v>
      </c>
      <c r="C12" s="50">
        <f>C9+C11-C10</f>
        <v>-70.521753872831596</v>
      </c>
      <c r="D12" s="50">
        <f t="shared" ref="D12:E12" si="1">D9+D11-D10</f>
        <v>-56.355166632892519</v>
      </c>
      <c r="E12" s="50">
        <f t="shared" si="1"/>
        <v>-60.872869206641546</v>
      </c>
      <c r="N12" s="54" t="s">
        <v>163</v>
      </c>
      <c r="O12" s="54"/>
      <c r="P12" s="15">
        <f>'Financial Statements'!B8</f>
        <v>394328</v>
      </c>
      <c r="Q12" s="15">
        <f>'Financial Statements'!C8</f>
        <v>365817</v>
      </c>
      <c r="R12" s="15">
        <f>'Financial Statements'!D8</f>
        <v>274515</v>
      </c>
    </row>
    <row r="13" spans="1:18" x14ac:dyDescent="0.3">
      <c r="A13" s="18">
        <f t="shared" si="0"/>
        <v>1.9000000000000008</v>
      </c>
      <c r="B13" s="1" t="s">
        <v>108</v>
      </c>
      <c r="C13" s="23">
        <f>C14/P12</f>
        <v>3.7025014708567484E-2</v>
      </c>
      <c r="D13" s="23">
        <f>D14/Q12</f>
        <v>1.9023172788580081E-2</v>
      </c>
      <c r="E13" s="23">
        <f>E14/R12</f>
        <v>0.15600604702839554</v>
      </c>
    </row>
    <row r="14" spans="1:18" x14ac:dyDescent="0.3">
      <c r="A14" s="18"/>
      <c r="B14" s="3" t="s">
        <v>109</v>
      </c>
      <c r="C14" s="32">
        <f>P8</f>
        <v>14600</v>
      </c>
      <c r="D14" s="32">
        <f t="shared" ref="D14:E14" si="2">Q8</f>
        <v>6959</v>
      </c>
      <c r="E14" s="32">
        <f t="shared" si="2"/>
        <v>42826</v>
      </c>
      <c r="G14" t="s">
        <v>179</v>
      </c>
    </row>
    <row r="15" spans="1:18" x14ac:dyDescent="0.3">
      <c r="A15" s="18"/>
    </row>
    <row r="16" spans="1:18" x14ac:dyDescent="0.3">
      <c r="A16" s="18">
        <f>+A4+1</f>
        <v>2</v>
      </c>
      <c r="B16" s="17" t="s">
        <v>110</v>
      </c>
    </row>
    <row r="17" spans="1:18" x14ac:dyDescent="0.3">
      <c r="A17" s="18">
        <f>+A16+0.1</f>
        <v>2.1</v>
      </c>
      <c r="B17" s="1" t="s">
        <v>9</v>
      </c>
      <c r="C17" s="46">
        <f>'Financial Statements'!B13/'Financial Statements'!B8</f>
        <v>0.43309630561360085</v>
      </c>
      <c r="D17" s="46">
        <f>'Financial Statements'!C13/'Financial Statements'!C8</f>
        <v>0.41779359625167778</v>
      </c>
      <c r="E17" s="46">
        <f>'Financial Statements'!D13/'Financial Statements'!D8</f>
        <v>0.38233247727810865</v>
      </c>
      <c r="N17" t="s">
        <v>164</v>
      </c>
      <c r="P17">
        <f>'Financial Statements'!B8</f>
        <v>394328</v>
      </c>
      <c r="Q17">
        <f>'Financial Statements'!C8</f>
        <v>365817</v>
      </c>
      <c r="R17">
        <f>'Financial Statements'!D8</f>
        <v>274515</v>
      </c>
    </row>
    <row r="18" spans="1:18" x14ac:dyDescent="0.3">
      <c r="A18" s="18">
        <f>+A17+0.1</f>
        <v>2.2000000000000002</v>
      </c>
      <c r="B18" s="1" t="s">
        <v>111</v>
      </c>
      <c r="C18" s="46">
        <f>C19/P17</f>
        <v>0.3310467428130896</v>
      </c>
      <c r="D18" s="46">
        <f>D19/Q17</f>
        <v>0.32866979938056462</v>
      </c>
      <c r="E18" s="46">
        <f>E19/R17</f>
        <v>0.2817478097736007</v>
      </c>
    </row>
    <row r="19" spans="1:18" x14ac:dyDescent="0.3">
      <c r="A19" s="18"/>
      <c r="B19" s="3" t="s">
        <v>112</v>
      </c>
      <c r="C19" s="12">
        <f>C21+'Financial Statements'!B114</f>
        <v>130541</v>
      </c>
      <c r="D19" s="12">
        <f>D21+'Financial Statements'!C114</f>
        <v>120233</v>
      </c>
      <c r="E19" s="12">
        <f>E21+'Financial Statements'!D114</f>
        <v>77344</v>
      </c>
    </row>
    <row r="20" spans="1:18" x14ac:dyDescent="0.3">
      <c r="A20" s="18">
        <f>+A18+0.1</f>
        <v>2.3000000000000003</v>
      </c>
      <c r="B20" s="1" t="s">
        <v>113</v>
      </c>
      <c r="C20" s="46">
        <f>C21/P17</f>
        <v>0.30288744395528594</v>
      </c>
      <c r="D20" s="46">
        <f>D21/Q17</f>
        <v>0.29782377527561593</v>
      </c>
      <c r="E20" s="46">
        <f>E21/R17</f>
        <v>0.24147314354406862</v>
      </c>
    </row>
    <row r="21" spans="1:18" x14ac:dyDescent="0.3">
      <c r="A21" s="18"/>
      <c r="B21" s="3" t="s">
        <v>114</v>
      </c>
      <c r="C21" s="12">
        <f>'Financial Statements'!B18</f>
        <v>119437</v>
      </c>
      <c r="D21" s="12">
        <f>'Financial Statements'!C18</f>
        <v>108949</v>
      </c>
      <c r="E21" s="12">
        <f>'Financial Statements'!D18</f>
        <v>66288</v>
      </c>
    </row>
    <row r="22" spans="1:18" x14ac:dyDescent="0.3">
      <c r="A22" s="18">
        <f>+A20+0.1</f>
        <v>2.4000000000000004</v>
      </c>
      <c r="B22" s="1" t="s">
        <v>115</v>
      </c>
      <c r="C22" s="46">
        <f>'Financial Statements'!B22/'Financial Statements'!B8</f>
        <v>0.25309640705199732</v>
      </c>
      <c r="D22" s="46">
        <f>'Financial Statements'!C22/'Financial Statements'!C8</f>
        <v>0.25881793355694238</v>
      </c>
      <c r="E22" s="46">
        <f>'Financial Statements'!D22/'Financial Statements'!D8</f>
        <v>0.20913611278072236</v>
      </c>
    </row>
    <row r="23" spans="1:18" x14ac:dyDescent="0.3">
      <c r="A23" s="18"/>
    </row>
    <row r="24" spans="1:18" x14ac:dyDescent="0.3">
      <c r="A24" s="18">
        <f>+A16+1</f>
        <v>3</v>
      </c>
      <c r="B24" s="7" t="s">
        <v>116</v>
      </c>
    </row>
    <row r="25" spans="1:18" x14ac:dyDescent="0.3">
      <c r="A25" s="18">
        <f>+A24+0.1</f>
        <v>3.1</v>
      </c>
      <c r="B25" s="1" t="s">
        <v>117</v>
      </c>
      <c r="C25" s="46">
        <f>('Financial Statements'!B81)/'Financial Statements'!B90</f>
        <v>1.9529325860435744</v>
      </c>
      <c r="D25" s="46">
        <f>('Financial Statements'!C81)/'Financial Statements'!C90</f>
        <v>1.729370740212395</v>
      </c>
      <c r="E25" s="46">
        <f>('Financial Statements'!D81)/'Financial Statements'!D90</f>
        <v>1.5100782075024104</v>
      </c>
    </row>
    <row r="26" spans="1:18" x14ac:dyDescent="0.3">
      <c r="A26" s="18">
        <f t="shared" ref="A26:A30" si="3">+A25+0.1</f>
        <v>3.2</v>
      </c>
      <c r="B26" s="1" t="s">
        <v>118</v>
      </c>
      <c r="C26" s="46">
        <f>('Financial Statements'!B81)/'Financial Statements'!B70</f>
        <v>0.28053181386514719</v>
      </c>
      <c r="D26" s="46">
        <f>('Financial Statements'!C81)/'Financial Statements'!C70</f>
        <v>0.31084153366647482</v>
      </c>
      <c r="E26" s="46">
        <f>('Financial Statements'!D81)/'Financial Statements'!D70</f>
        <v>0.30463308304105124</v>
      </c>
    </row>
    <row r="27" spans="1:18" x14ac:dyDescent="0.3">
      <c r="A27" s="18">
        <f t="shared" si="3"/>
        <v>3.3000000000000003</v>
      </c>
      <c r="B27" s="1" t="s">
        <v>119</v>
      </c>
      <c r="C27" s="46">
        <f>'Financial Statements'!B81/('Financial Statements'!B81+'Financial Statements'!B90)</f>
        <v>0.66135359651409131</v>
      </c>
      <c r="D27" s="46">
        <f>'Financial Statements'!C81/('Financial Statements'!C81+'Financial Statements'!C90)</f>
        <v>0.63361518269878514</v>
      </c>
      <c r="E27" s="46">
        <f>'Financial Statements'!D81/('Financial Statements'!D81+'Financial Statements'!D90)</f>
        <v>0.60160603880345842</v>
      </c>
    </row>
    <row r="28" spans="1:18" x14ac:dyDescent="0.3">
      <c r="A28" s="18">
        <f t="shared" si="3"/>
        <v>3.4000000000000004</v>
      </c>
      <c r="B28" s="1" t="s">
        <v>120</v>
      </c>
      <c r="C28" s="52">
        <f>C21/'Financial Statements'!B19</f>
        <v>-357.59580838323353</v>
      </c>
      <c r="D28" s="52">
        <f>D21/'Financial Statements'!C19</f>
        <v>422.2829457364341</v>
      </c>
      <c r="E28" s="52">
        <f>E21/'Financial Statements'!D19</f>
        <v>82.550435865504355</v>
      </c>
      <c r="F28" t="s">
        <v>167</v>
      </c>
      <c r="G28" t="s">
        <v>172</v>
      </c>
    </row>
    <row r="29" spans="1:18" x14ac:dyDescent="0.3">
      <c r="A29" s="18">
        <f t="shared" si="3"/>
        <v>3.5000000000000004</v>
      </c>
      <c r="B29" s="1" t="s">
        <v>121</v>
      </c>
      <c r="C29" s="51">
        <f>C22/('Financial Statements'!B20+'Financial Statements'!B140)</f>
        <v>2.3101168953267371E-6</v>
      </c>
      <c r="D29" s="51">
        <f>D22/('Financial Statements'!C20+'Financial Statements'!C140)</f>
        <v>2.5764051639700804E-6</v>
      </c>
      <c r="E29" s="51">
        <f>E22/('Financial Statements'!D20+'Financial Statements'!D140)</f>
        <v>3.8400373247534493E-6</v>
      </c>
      <c r="G29" t="s">
        <v>173</v>
      </c>
    </row>
    <row r="30" spans="1:18" ht="57.6" x14ac:dyDescent="0.3">
      <c r="A30" s="18">
        <f t="shared" si="3"/>
        <v>3.6000000000000005</v>
      </c>
      <c r="B30" s="1" t="s">
        <v>122</v>
      </c>
      <c r="C30" s="45">
        <f>C31/'Financial Statements'!B28</f>
        <v>7.1609271179595953E-3</v>
      </c>
      <c r="D30" s="45">
        <f>D31/'Financial Statements'!C28</f>
        <v>6.7208149650763221E-3</v>
      </c>
      <c r="E30" s="45">
        <f>E31/'Financial Statements'!D28</f>
        <v>5.1035433501667657E-3</v>
      </c>
      <c r="G30" s="57" t="s">
        <v>175</v>
      </c>
    </row>
    <row r="31" spans="1:18" x14ac:dyDescent="0.3">
      <c r="A31" s="18"/>
      <c r="B31" s="3" t="s">
        <v>123</v>
      </c>
      <c r="C31">
        <f>'Financial Statements'!B157</f>
        <v>116908</v>
      </c>
      <c r="D31">
        <f>'Financial Statements'!C157</f>
        <v>113346</v>
      </c>
      <c r="E31">
        <f>'Financial Statements'!D157</f>
        <v>89456</v>
      </c>
    </row>
    <row r="32" spans="1:18" x14ac:dyDescent="0.3">
      <c r="A32" s="18"/>
    </row>
    <row r="33" spans="1:7" x14ac:dyDescent="0.3">
      <c r="A33" s="18">
        <f>+A24+1</f>
        <v>4</v>
      </c>
      <c r="B33" s="17" t="s">
        <v>124</v>
      </c>
    </row>
    <row r="34" spans="1:7" x14ac:dyDescent="0.3">
      <c r="A34" s="18">
        <f>+A33+0.1</f>
        <v>4.0999999999999996</v>
      </c>
      <c r="B34" s="1" t="s">
        <v>125</v>
      </c>
      <c r="C34" s="46">
        <f>'Financial Statements'!B8/'Financial Statements'!B70</f>
        <v>1.1178523337727317</v>
      </c>
      <c r="D34" s="46">
        <f>'Financial Statements'!C8/'Financial Statements'!C70</f>
        <v>1.0422077367080529</v>
      </c>
      <c r="E34" s="46">
        <f>'Financial Statements'!D8/'Financial Statements'!D70</f>
        <v>0.84756150274168851</v>
      </c>
    </row>
    <row r="35" spans="1:7" x14ac:dyDescent="0.3">
      <c r="A35" s="18">
        <f t="shared" ref="A35:A37" si="4">+A34+0.1</f>
        <v>4.1999999999999993</v>
      </c>
      <c r="B35" s="1" t="s">
        <v>126</v>
      </c>
      <c r="C35" s="46">
        <f>'Financial Statements'!B8/'Financial Statements'!B67</f>
        <v>9.3626801529073767</v>
      </c>
      <c r="D35" s="46">
        <f>'Financial Statements'!C8/'Financial Statements'!C67</f>
        <v>9.2752789046653152</v>
      </c>
      <c r="E35" s="46">
        <f>'Financial Statements'!D8/'Financial Statements'!D67</f>
        <v>7.4665451776097482</v>
      </c>
    </row>
    <row r="36" spans="1:7" x14ac:dyDescent="0.3">
      <c r="A36" s="18">
        <f t="shared" si="4"/>
        <v>4.2999999999999989</v>
      </c>
      <c r="B36" s="1" t="s">
        <v>127</v>
      </c>
      <c r="C36" s="46">
        <f>'Financial Statements'!B12/'Financial Statements'!B61</f>
        <v>45.197331176708452</v>
      </c>
      <c r="D36" s="46">
        <f>'Financial Statements'!C12/'Financial Statements'!C61</f>
        <v>32.367933130699086</v>
      </c>
      <c r="E36" s="46">
        <f>'Financial Statements'!D12/'Financial Statements'!D61</f>
        <v>41.753016498399411</v>
      </c>
    </row>
    <row r="37" spans="1:7" x14ac:dyDescent="0.3">
      <c r="A37" s="18">
        <f t="shared" si="4"/>
        <v>4.3999999999999986</v>
      </c>
      <c r="B37" s="1" t="s">
        <v>128</v>
      </c>
      <c r="C37" s="46">
        <f>'Financial Statements'!B22/'Financial Statements'!B70</f>
        <v>0.28292440929256851</v>
      </c>
      <c r="D37" s="46">
        <f>'Financial Statements'!C22/'Financial Statements'!C70</f>
        <v>0.26974205275183616</v>
      </c>
      <c r="E37" s="46">
        <f>'Financial Statements'!D22/'Financial Statements'!D70</f>
        <v>0.1772557180259843</v>
      </c>
    </row>
    <row r="38" spans="1:7" x14ac:dyDescent="0.3">
      <c r="A38" s="18"/>
    </row>
    <row r="39" spans="1:7" x14ac:dyDescent="0.3">
      <c r="A39" s="18">
        <f>+A33+1</f>
        <v>5</v>
      </c>
      <c r="B39" s="17" t="s">
        <v>129</v>
      </c>
    </row>
    <row r="40" spans="1:7" x14ac:dyDescent="0.3">
      <c r="A40" s="18">
        <f>+A39+0.1</f>
        <v>5.0999999999999996</v>
      </c>
      <c r="B40" s="1" t="s">
        <v>130</v>
      </c>
      <c r="C40" s="46">
        <f>$C$54/'Financial Statements'!B24</f>
        <v>28.499186991869919</v>
      </c>
      <c r="D40" s="46">
        <f>$C$54/'Financial Statements'!C24</f>
        <v>30.911816578483247</v>
      </c>
      <c r="E40" s="46">
        <f>$C$54/'Financial Statements'!D24</f>
        <v>52.951661631419945</v>
      </c>
    </row>
    <row r="41" spans="1:7" x14ac:dyDescent="0.3">
      <c r="A41" s="18">
        <f t="shared" ref="A41:A44" si="5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7" x14ac:dyDescent="0.3">
      <c r="A42" s="18">
        <f t="shared" si="5"/>
        <v>5.2999999999999989</v>
      </c>
      <c r="B42" s="1" t="s">
        <v>132</v>
      </c>
      <c r="C42" s="44">
        <f>$C$54/'Financial Statements'!B70</f>
        <v>4.9686042720868597E-4</v>
      </c>
      <c r="D42" s="44">
        <f>$C$54/'Financial Statements'!C70</f>
        <v>4.9934188409182854E-4</v>
      </c>
      <c r="E42" s="44">
        <f>$C$54/'Financial Statements'!D70</f>
        <v>5.4114385219582086E-4</v>
      </c>
    </row>
    <row r="43" spans="1:7" x14ac:dyDescent="0.3">
      <c r="A43" s="18">
        <f t="shared" si="5"/>
        <v>5.3999999999999986</v>
      </c>
      <c r="B43" s="3" t="s">
        <v>133</v>
      </c>
      <c r="C43" s="45">
        <f>'Financial Statements'!B70/'Financial Statements'!B28</f>
        <v>2.1607185526190141E-2</v>
      </c>
      <c r="D43" s="45">
        <f>'Financial Statements'!C70/'Financial Statements'!C28</f>
        <v>2.0812551782786504E-2</v>
      </c>
      <c r="E43" s="45">
        <f>'Financial Statements'!D70/'Financial Statements'!D28</f>
        <v>1.8478094801900526E-2</v>
      </c>
      <c r="G43" t="s">
        <v>174</v>
      </c>
    </row>
    <row r="44" spans="1:7" x14ac:dyDescent="0.3">
      <c r="A44" s="18">
        <f t="shared" si="5"/>
        <v>5.4999999999999982</v>
      </c>
      <c r="B44" s="1" t="s">
        <v>134</v>
      </c>
      <c r="C44" s="53">
        <f>('Financial Statements'!B137/'Financial Statements'!B28)/'List of Ratios'!C41</f>
        <v>-1.4878083013397295E-4</v>
      </c>
      <c r="D44" s="53">
        <f>('Financial Statements'!C137/'Financial Statements'!C28)/'List of Ratios'!D41</f>
        <v>-1.5290840583271576E-4</v>
      </c>
      <c r="E44" s="53">
        <f>('Financial Statements'!D137/'Financial Statements'!D28)/'List of Ratios'!E41</f>
        <v>-2.4491872388584764E-4</v>
      </c>
    </row>
    <row r="45" spans="1:7" x14ac:dyDescent="0.3">
      <c r="A45" s="18"/>
      <c r="B45" s="3" t="s">
        <v>135</v>
      </c>
      <c r="C45" s="53">
        <f>'Financial Statements'!B137/'Financial Statements'!B28</f>
        <v>-9.0905087211857485E-4</v>
      </c>
      <c r="D45" s="53">
        <f>'Financial Statements'!C137/'Financial Statements'!C28</f>
        <v>-8.5781615672153545E-4</v>
      </c>
      <c r="E45" s="53">
        <f>'Financial Statements'!D137/'Financial Statements'!D28</f>
        <v>-8.0333341434558024E-4</v>
      </c>
      <c r="G45" t="s">
        <v>180</v>
      </c>
    </row>
    <row r="46" spans="1:7" x14ac:dyDescent="0.3">
      <c r="A46" s="18">
        <f>+A44+0.1</f>
        <v>5.5999999999999979</v>
      </c>
      <c r="B46" s="1" t="s">
        <v>136</v>
      </c>
      <c r="C46" s="53">
        <f>C45/C43</f>
        <v>-4.207169281796147E-2</v>
      </c>
      <c r="D46" s="53">
        <f t="shared" ref="D46:E46" si="6">D45/D43</f>
        <v>-4.1216289365872565E-2</v>
      </c>
      <c r="E46" s="53">
        <f t="shared" si="6"/>
        <v>-4.3474904905399396E-2</v>
      </c>
      <c r="G46" t="s">
        <v>176</v>
      </c>
    </row>
    <row r="47" spans="1:7" x14ac:dyDescent="0.3">
      <c r="A47" s="18">
        <f t="shared" ref="A47:A50" si="7">+A45+0.1</f>
        <v>0.1</v>
      </c>
      <c r="B47" s="1" t="s">
        <v>137</v>
      </c>
      <c r="C47" s="46">
        <f>'Financial Statements'!B22/'Financial Statements'!B90</f>
        <v>1.9695887275023682</v>
      </c>
      <c r="D47" s="46">
        <f>'Financial Statements'!C22/'Financial Statements'!C90</f>
        <v>1.5007132667617689</v>
      </c>
      <c r="E47" s="46">
        <f>'Financial Statements'!D22/'Financial Statements'!D90</f>
        <v>0.87866358530127486</v>
      </c>
    </row>
    <row r="48" spans="1:7" ht="43.2" x14ac:dyDescent="0.3">
      <c r="A48" s="18">
        <f t="shared" si="7"/>
        <v>5.6999999999999975</v>
      </c>
      <c r="B48" s="1" t="s">
        <v>138</v>
      </c>
      <c r="C48" s="52">
        <f>C21/C60</f>
        <v>5.073789294817332</v>
      </c>
      <c r="D48" s="52">
        <f t="shared" ref="D48:E48" si="8">D21/D60</f>
        <v>2.2327902449021417</v>
      </c>
      <c r="E48" s="52">
        <f t="shared" si="8"/>
        <v>0.88281593351712018</v>
      </c>
      <c r="G48" s="57" t="s">
        <v>177</v>
      </c>
    </row>
    <row r="49" spans="1:7" x14ac:dyDescent="0.3">
      <c r="A49" s="18">
        <f t="shared" si="7"/>
        <v>0.2</v>
      </c>
      <c r="B49" s="1" t="s">
        <v>128</v>
      </c>
      <c r="C49" s="46">
        <f>C37</f>
        <v>0.28292440929256851</v>
      </c>
      <c r="D49" s="46">
        <f t="shared" ref="D49:E49" si="9">D37</f>
        <v>0.26974205275183616</v>
      </c>
      <c r="E49" s="46">
        <f t="shared" si="9"/>
        <v>0.1772557180259843</v>
      </c>
    </row>
    <row r="50" spans="1:7" x14ac:dyDescent="0.3">
      <c r="A50" s="18">
        <f t="shared" si="7"/>
        <v>5.7999999999999972</v>
      </c>
      <c r="B50" s="1" t="s">
        <v>139</v>
      </c>
      <c r="C50" s="47">
        <f>C51/C19</f>
        <v>21772.916371178406</v>
      </c>
      <c r="D50" s="47">
        <f t="shared" ref="D50:E50" si="10">D51/D19</f>
        <v>24347.023882295212</v>
      </c>
      <c r="E50" s="47">
        <f t="shared" si="10"/>
        <v>39322.705331118123</v>
      </c>
    </row>
    <row r="51" spans="1:7" x14ac:dyDescent="0.3">
      <c r="A51" s="18"/>
      <c r="B51" s="3" t="s">
        <v>140</v>
      </c>
      <c r="C51" s="43">
        <f>$C$54*'Financial Statements'!B27+('Financial Statements'!B81+'Financial Statements'!B77)-'Financial Statements'!B58</f>
        <v>2842258276.0100002</v>
      </c>
      <c r="D51" s="43">
        <f>$C$54*'Financial Statements'!C27+('Financial Statements'!C81+'Financial Statements'!C77)-'Financial Statements'!C58</f>
        <v>2927315722.4400001</v>
      </c>
      <c r="E51" s="43">
        <f>$C$54*'Financial Statements'!D27+('Financial Statements'!D81+'Financial Statements'!D77)-'Financial Statements'!D58</f>
        <v>3041375321.1300001</v>
      </c>
      <c r="G51" t="s">
        <v>178</v>
      </c>
    </row>
    <row r="54" spans="1:7" x14ac:dyDescent="0.3">
      <c r="B54" t="s">
        <v>166</v>
      </c>
      <c r="C54">
        <v>175.27</v>
      </c>
    </row>
    <row r="56" spans="1:7" x14ac:dyDescent="0.3">
      <c r="A56" t="s">
        <v>168</v>
      </c>
      <c r="B56" t="str">
        <f>'Financial Statements'!A28</f>
        <v>Diluted</v>
      </c>
      <c r="C56">
        <f>'Financial Statements'!B28</f>
        <v>16325819</v>
      </c>
      <c r="D56">
        <f>'Financial Statements'!C28</f>
        <v>16864919</v>
      </c>
      <c r="E56">
        <f>'Financial Statements'!D28</f>
        <v>17528214</v>
      </c>
    </row>
    <row r="57" spans="1:7" x14ac:dyDescent="0.3">
      <c r="A57" t="s">
        <v>169</v>
      </c>
      <c r="B57" t="str">
        <f>'Financial Statements'!A25</f>
        <v>Diluted</v>
      </c>
      <c r="C57">
        <f>'Financial Statements'!B25</f>
        <v>6.11</v>
      </c>
      <c r="D57">
        <f>'Financial Statements'!C25</f>
        <v>5.61</v>
      </c>
      <c r="E57">
        <f>'Financial Statements'!D25</f>
        <v>3.28</v>
      </c>
    </row>
    <row r="60" spans="1:7" x14ac:dyDescent="0.3">
      <c r="B60" t="s">
        <v>170</v>
      </c>
      <c r="C60">
        <f>('Financial Statements'!B67+'Financial Statements'!B64)-'Financial Statements'!B78</f>
        <v>23540</v>
      </c>
      <c r="D60">
        <f>('Financial Statements'!C67+'Financial Statements'!C64)-'Financial Statements'!C78</f>
        <v>48795</v>
      </c>
      <c r="E60">
        <f>('Financial Statements'!D67+'Financial Statements'!D64)-'Financial Statements'!D78</f>
        <v>75087</v>
      </c>
    </row>
  </sheetData>
  <mergeCells count="5">
    <mergeCell ref="N12:O12"/>
    <mergeCell ref="C2:E2"/>
    <mergeCell ref="N8:O8"/>
    <mergeCell ref="N9:O9"/>
    <mergeCell ref="N10:O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terms:modified xsi:type="dcterms:W3CDTF">2023-06-01T17:44:02Z</dcterms:modified>
</cp:coreProperties>
</file>