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dyn\Downloads\"/>
    </mc:Choice>
  </mc:AlternateContent>
  <xr:revisionPtr revIDLastSave="0" documentId="8_{7307ED73-B1DF-486F-95D3-B71789247B8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C84" i="3"/>
  <c r="D83" i="3"/>
  <c r="E83" i="3"/>
  <c r="C83" i="3"/>
  <c r="D70" i="3"/>
  <c r="C70" i="3"/>
  <c r="D69" i="3"/>
  <c r="C69" i="3"/>
  <c r="D67" i="3"/>
  <c r="D68" i="3"/>
  <c r="C68" i="3"/>
  <c r="C67" i="3"/>
  <c r="D66" i="3"/>
  <c r="C66" i="3"/>
  <c r="D65" i="3"/>
  <c r="C65" i="3"/>
  <c r="D64" i="3"/>
  <c r="C64" i="3"/>
  <c r="D63" i="3"/>
  <c r="C63" i="3"/>
  <c r="D61" i="3"/>
  <c r="D60" i="3"/>
  <c r="D59" i="3"/>
  <c r="C58" i="3"/>
  <c r="C59" i="3"/>
  <c r="C60" i="3"/>
  <c r="C61" i="3"/>
  <c r="D57" i="3"/>
  <c r="C57" i="3"/>
  <c r="D56" i="3"/>
  <c r="D55" i="3"/>
  <c r="C55" i="3"/>
  <c r="C56" i="3"/>
  <c r="D54" i="3"/>
  <c r="C54" i="3"/>
  <c r="E54" i="3"/>
  <c r="D51" i="3"/>
  <c r="E51" i="3"/>
  <c r="C51" i="3"/>
  <c r="D31" i="3"/>
  <c r="E31" i="3"/>
  <c r="C31" i="3"/>
  <c r="C30" i="3"/>
  <c r="D26" i="3"/>
  <c r="E26" i="3"/>
  <c r="C26" i="3"/>
  <c r="D25" i="3"/>
  <c r="E25" i="3"/>
  <c r="C25" i="3"/>
  <c r="D11" i="3"/>
  <c r="E11" i="3"/>
  <c r="C11" i="3"/>
  <c r="D8" i="3"/>
  <c r="E8" i="3"/>
  <c r="C8" i="3"/>
  <c r="E9" i="3" l="1"/>
  <c r="D82" i="3" l="1"/>
  <c r="E82" i="3"/>
  <c r="C82" i="3"/>
  <c r="D80" i="3"/>
  <c r="E80" i="3"/>
  <c r="C80" i="3"/>
  <c r="D79" i="3"/>
  <c r="E79" i="3"/>
  <c r="C79" i="3"/>
  <c r="D78" i="3"/>
  <c r="E78" i="3"/>
  <c r="C78" i="3"/>
  <c r="D77" i="3"/>
  <c r="E77" i="3"/>
  <c r="C77" i="3"/>
  <c r="E76" i="3"/>
  <c r="D76" i="3"/>
  <c r="C76" i="3"/>
  <c r="D74" i="3"/>
  <c r="E74" i="3"/>
  <c r="C74" i="3"/>
  <c r="D73" i="3"/>
  <c r="E73" i="3"/>
  <c r="C73" i="3"/>
  <c r="D47" i="3"/>
  <c r="E47" i="3"/>
  <c r="C47" i="3"/>
  <c r="E41" i="3"/>
  <c r="D41" i="3"/>
  <c r="C41" i="3"/>
  <c r="D45" i="3"/>
  <c r="E45" i="3"/>
  <c r="C45" i="3"/>
  <c r="E43" i="3"/>
  <c r="D43" i="3"/>
  <c r="C43" i="3"/>
  <c r="E42" i="3"/>
  <c r="D42" i="3"/>
  <c r="C42" i="3"/>
  <c r="E40" i="3"/>
  <c r="D40" i="3"/>
  <c r="C40" i="3"/>
  <c r="D37" i="3"/>
  <c r="D49" i="3" s="1"/>
  <c r="E37" i="3"/>
  <c r="E49" i="3" s="1"/>
  <c r="C37" i="3"/>
  <c r="C49" i="3" s="1"/>
  <c r="D36" i="3"/>
  <c r="E36" i="3"/>
  <c r="C36" i="3"/>
  <c r="D35" i="3"/>
  <c r="E35" i="3"/>
  <c r="C35" i="3"/>
  <c r="D34" i="3"/>
  <c r="E34" i="3"/>
  <c r="C34" i="3"/>
  <c r="D30" i="3"/>
  <c r="E30" i="3"/>
  <c r="D27" i="3"/>
  <c r="E27" i="3"/>
  <c r="C27" i="3"/>
  <c r="D22" i="3"/>
  <c r="E22" i="3"/>
  <c r="C22" i="3"/>
  <c r="D21" i="3"/>
  <c r="E21" i="3"/>
  <c r="C21" i="3"/>
  <c r="D19" i="3"/>
  <c r="D50" i="3" s="1"/>
  <c r="E19" i="3"/>
  <c r="E50" i="3" s="1"/>
  <c r="C19" i="3"/>
  <c r="C50" i="3" s="1"/>
  <c r="C18" i="3"/>
  <c r="D18" i="3"/>
  <c r="E18" i="3"/>
  <c r="D17" i="3"/>
  <c r="E17" i="3"/>
  <c r="C17" i="3"/>
  <c r="D13" i="3"/>
  <c r="E13" i="3"/>
  <c r="C13" i="3"/>
  <c r="D10" i="3"/>
  <c r="E10" i="3"/>
  <c r="C10" i="3"/>
  <c r="D9" i="3"/>
  <c r="D12" i="3" s="1"/>
  <c r="E12" i="3"/>
  <c r="C9" i="3"/>
  <c r="C12" i="3" s="1"/>
  <c r="D7" i="3"/>
  <c r="E7" i="3"/>
  <c r="C7" i="3"/>
  <c r="D6" i="3"/>
  <c r="E6" i="3"/>
  <c r="C6" i="3"/>
  <c r="E5" i="3"/>
  <c r="D5" i="3"/>
  <c r="C5" i="3"/>
  <c r="D108" i="1"/>
  <c r="C108" i="1"/>
  <c r="B108" i="1"/>
  <c r="D99" i="1"/>
  <c r="C99" i="1"/>
  <c r="B99" i="1"/>
  <c r="C48" i="3" l="1"/>
  <c r="C29" i="3"/>
  <c r="E48" i="3"/>
  <c r="E29" i="3"/>
  <c r="D48" i="3"/>
  <c r="D29" i="3"/>
  <c r="C28" i="3"/>
  <c r="C20" i="3"/>
  <c r="E28" i="3"/>
  <c r="E20" i="3"/>
  <c r="D28" i="3"/>
  <c r="D20" i="3"/>
  <c r="C46" i="3"/>
  <c r="C44" i="3"/>
  <c r="E46" i="3"/>
  <c r="E44" i="3"/>
  <c r="D46" i="3"/>
  <c r="D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<sst xmlns="http://schemas.openxmlformats.org/spreadsheetml/2006/main" count="248" uniqueCount="196">
  <si>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</si>
  <si>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</si>
  <si>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</si>
  <si>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</si>
  <si>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</si>
  <si>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</si>
  <si>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</si>
  <si>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</si>
  <si>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</si>
  <si>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</si>
  <si>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</si>
  <si>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</si>
  <si>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</si>
  <si>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</si>
  <si>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</si>
  <si>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</si>
  <si>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</si>
  <si>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</si>
  <si>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</si>
  <si>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</si>
  <si>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</si>
  <si>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</si>
  <si>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</si>
  <si>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</si>
  <si>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</si>
  <si>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</si>
  <si>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</si>
  <si>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</si>
  <si>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</si>
  <si>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</si>
  <si>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</si>
  <si>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</si>
  <si>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</si>
  <si>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</si>
  <si>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</si>
  <si>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</si>
  <si>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</si>
  <si>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</si>
  <si>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</si>
  <si>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</si>
  <si>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</si>
  <si>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</si>
  <si>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</si>
  <si>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</si>
  <si>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</si>
  <si>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</si>
  <si>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</si>
  <si>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</si>
  <si>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</si>
  <si>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</si>
  <si>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</si>
  <si>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</si>
  <si>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</si>
  <si>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</si>
  <si>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</si>
  <si>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</si>
  <si>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</si>
  <si>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</si>
  <si>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</si>
  <si>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</si>
  <si>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</si>
  <si>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</si>
  <si>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</si>
  <si>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</si>
  <si>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</si>
  <si>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</si>
  <si>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</si>
  <si>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</si>
  <si>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</si>
  <si>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</si>
  <si>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</si>
  <si>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</si>
  <si>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</si>
  <si>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</si>
  <si>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</si>
  <si>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</si>
  <si>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</si>
  <si>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</si>
  <si>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</si>
  <si>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</si>
  <si>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</si>
  <si>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</si>
  <si>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</si>
  <si>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</si>
  <si>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</si>
  <si>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</si>
  <si>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</si>
  <si>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</si>
  <si>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</si>
  <si>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</si>
  <si>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</si>
  <si>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</si>
  <si>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</si>
  <si>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</si>
  <si>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</si>
  <si>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</si>
  <si>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</si>
  <si>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</si>
  <si>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</si>
  <si>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</si>
  <si>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</si>
  <si>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</si>
  <si>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</si>
  <si>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</si>
  <si>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</si>
  <si>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</si>
  <si>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</si>
  <si>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</si>
  <si>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</si>
  <si>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</si>
  <si>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</si>
  <si>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</si>
  <si>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</si>
  <si>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</si>
  <si>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</si>
  <si>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</si>
  <si>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</si>
  <si>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</si>
  <si>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</si>
  <si>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</si>
  <si>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</si>
  <si>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</si>
  <si>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</si>
  <si>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</si>
  <si>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</si>
  <si>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</si>
  <si>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</si>
  <si>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</si>
  <si>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</si>
  <si>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</si>
  <si>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</si>
  <si>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</si>
  <si>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</si>
  <si>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</si>
  <si>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</si>
  <si>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</si>
  <si>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</si>
  <si>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</si>
  <si>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</si>
  <si>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</si>
  <si>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</si>
  <si>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</si>
  <si>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</si>
  <si>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</si>
  <si>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</si>
  <si>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</si>
  <si>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</si>
  <si>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</si>
  <si>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</si>
  <si>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</si>
  <si>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(Current Assets - Inventories) / Current Liabilities</t>
  </si>
  <si>
    <t>Cash and Cash Equivalents / Current Liabilities</t>
  </si>
  <si>
    <t>Current Assets / (Net Sales / 365)</t>
  </si>
  <si>
    <t>(Average Inventory / Cost of Goods Sold per Day)</t>
  </si>
  <si>
    <t>Accounts Payable / (Cost of Goods Sold per Day)</t>
  </si>
  <si>
    <t>Accounts Receivable / (Net Sales per Day)</t>
  </si>
  <si>
    <t>Inventory Days + Receivable Days - Payable Days</t>
  </si>
  <si>
    <t>(Working Capital / Net Sales) * 100</t>
  </si>
  <si>
    <t>((Net Sales - Cost of Goods Sold) / Net Sales) * 100</t>
  </si>
  <si>
    <t>(EBITDA / Net Sales) * 100</t>
  </si>
  <si>
    <t>(EBIT / Net Sales) * 100</t>
  </si>
  <si>
    <t>(Net Income / Net Sales) * 100</t>
  </si>
  <si>
    <t>Total Debt / Shareholders' Equity</t>
  </si>
  <si>
    <t>Total Debt / Total Assets</t>
  </si>
  <si>
    <t>=Long-term Debt / (Long-term Debt + Shareholders' Equity)</t>
  </si>
  <si>
    <t>EBIT / Interest Expense</t>
  </si>
  <si>
    <t>Net Cash from Operating Activities / Total Debt</t>
  </si>
  <si>
    <t>Free Cash Flow / Shares Outstanding</t>
  </si>
  <si>
    <t>Net Sales / Average Total Assets</t>
  </si>
  <si>
    <t>Net Sales / Average Fixed Assets</t>
  </si>
  <si>
    <t>Market Price per Share / Earnings per Share</t>
  </si>
  <si>
    <t>Net Income / Weighted Average Number of Shares Outstanding</t>
  </si>
  <si>
    <t>Market Price per Share / Book Value per Share</t>
  </si>
  <si>
    <t>Shareholders' Equity / Number of Shares Outstanding</t>
  </si>
  <si>
    <t>Dividends per Share / Earnings per Share</t>
  </si>
  <si>
    <t>Dividends per Share / Market Price per Share</t>
  </si>
  <si>
    <t>Net Income / Average Shareholders' Equity</t>
  </si>
  <si>
    <t>EBIT / Total Capital Employed</t>
  </si>
  <si>
    <t>Growth Rate</t>
  </si>
  <si>
    <t>nkk</t>
  </si>
  <si>
    <t>Net Sales</t>
  </si>
  <si>
    <t>Research and Development</t>
  </si>
  <si>
    <t>Saling and Development</t>
  </si>
  <si>
    <t>Total Operating Expenses</t>
  </si>
  <si>
    <t>Margins/ as a Percentage of Net sales</t>
  </si>
  <si>
    <t>Current Assets / Daily Operational Expenses where Daily Operational Expenses = (Annual Operating Expenses - Noncash Charges) / 365</t>
  </si>
  <si>
    <t>(Accounts Receivable / Total Net Sales) x 365</t>
  </si>
  <si>
    <t>For the numerator include only term debt (under non-current liabilities), since differed revenue is not an actual form of capital</t>
  </si>
  <si>
    <t>EBIT/ (Interest + Debt repayment) debt repayment can be found in cash flow statement</t>
  </si>
  <si>
    <t>FCFE/Diluted number of shares</t>
  </si>
  <si>
    <t>Cash from operations + Capex + Net debt issued</t>
  </si>
  <si>
    <t>EBIT / (Term debt + total equity)</t>
  </si>
  <si>
    <t>Market Cap + Total Debt - (Cash + Cash Equivalents), Where market cap=Share price* (diluted number of shares/1000)</t>
  </si>
  <si>
    <t>Link Capex with - sign to remove the negative</t>
  </si>
  <si>
    <t>Please refer to the highlighted cell for growth rate formula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</si>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</sst>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0000_);_(* \(#,##0.00000\);_(* &quot;-&quot;??_);_(@_)"/>
    <numFmt numFmtId="167" formatCode="0.000%"/>
    <numFmt numFmtId="168" formatCode="_(* #,##0.000_);_(* \(#,##0.000\);_(* &quot;-&quot;??_);_(@_)"/>
    <numFmt numFmtId="169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FFFF"/>
      <name val="Courier New"/>
      <family val="3"/>
    </font>
    <font>
      <sz val="11"/>
      <color rgb="FF0F0F0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166" fontId="0" fillId="0" borderId="0" xfId="1" applyNumberFormat="1" applyFont="1"/>
    <xf numFmtId="0" fontId="8" fillId="0" borderId="0" xfId="0" applyFont="1"/>
    <xf numFmtId="10" fontId="0" fillId="0" borderId="0" xfId="3" applyNumberFormat="1" applyFont="1"/>
    <xf numFmtId="167" fontId="0" fillId="0" borderId="0" xfId="3" applyNumberFormat="1" applyFont="1"/>
    <xf numFmtId="3" fontId="9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/>
    </xf>
    <xf numFmtId="43" fontId="0" fillId="0" borderId="0" xfId="1" applyFont="1"/>
    <xf numFmtId="9" fontId="0" fillId="5" borderId="0" xfId="3" applyFon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8" fontId="0" fillId="0" borderId="0" xfId="1" applyNumberFormat="1" applyFont="1"/>
    <xf numFmtId="169" fontId="0" fillId="0" borderId="0" xfId="1" applyNumberFormat="1" applyFont="1"/>
    <xf numFmtId="43" fontId="0" fillId="0" borderId="0" xfId="1" applyNumberFormat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1" zoomScale="98" workbookViewId="0">
      <selection activeCell="A30" sqref="A30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56" workbookViewId="0">
      <selection activeCell="B59" sqref="B59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5" t="s">
        <v>1</v>
      </c>
      <c r="B2" s="35"/>
      <c r="C2" s="35"/>
      <c r="D2" s="35"/>
    </row>
    <row r="3" spans="1:10" x14ac:dyDescent="0.25">
      <c r="B3" s="34" t="s">
        <v>23</v>
      </c>
      <c r="C3" s="34"/>
      <c r="D3" s="34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35" t="s">
        <v>24</v>
      </c>
      <c r="B31" s="35"/>
      <c r="C31" s="35"/>
      <c r="D31" s="35"/>
    </row>
    <row r="32" spans="1:4" x14ac:dyDescent="0.25">
      <c r="B32" s="34" t="s">
        <v>142</v>
      </c>
      <c r="C32" s="34"/>
      <c r="D32" s="34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35" t="s">
        <v>55</v>
      </c>
      <c r="B71" s="35"/>
      <c r="C71" s="35"/>
      <c r="D71" s="35"/>
    </row>
    <row r="72" spans="1:4" x14ac:dyDescent="0.25">
      <c r="B72" s="34" t="s">
        <v>23</v>
      </c>
      <c r="C72" s="34"/>
      <c r="D72" s="34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4"/>
  <sheetViews>
    <sheetView tabSelected="1" workbookViewId="0">
      <selection activeCell="F87" sqref="F87"/>
    </sheetView>
  </sheetViews>
  <sheetFormatPr defaultRowHeight="15" x14ac:dyDescent="0.25"/>
  <cols>
    <col min="1" max="1" width="4.7109375" customWidth="1"/>
    <col min="2" max="2" width="44.85546875" customWidth="1"/>
    <col min="3" max="3" width="12.7109375" bestFit="1" customWidth="1"/>
    <col min="4" max="5" width="10.5703125" bestFit="1" customWidth="1"/>
    <col min="6" max="6" width="38.85546875" customWidth="1"/>
  </cols>
  <sheetData>
    <row r="1" spans="1:11" ht="60" customHeight="1" x14ac:dyDescent="0.4">
      <c r="A1" s="6"/>
      <c r="B1" s="20" t="s">
        <v>0</v>
      </c>
      <c r="C1" s="19"/>
      <c r="D1" s="19"/>
      <c r="E1" s="19"/>
      <c r="F1" s="19" t="s">
        <v>195</v>
      </c>
      <c r="G1" s="19"/>
      <c r="H1" s="19"/>
      <c r="I1" s="19"/>
      <c r="J1" s="19"/>
      <c r="K1" s="19"/>
    </row>
    <row r="2" spans="1:11" x14ac:dyDescent="0.25">
      <c r="C2" s="34" t="s">
        <v>23</v>
      </c>
      <c r="D2" s="34"/>
      <c r="E2" s="34"/>
      <c r="F2" s="23"/>
    </row>
    <row r="3" spans="1:11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 x14ac:dyDescent="0.25">
      <c r="A4" s="18">
        <v>1</v>
      </c>
      <c r="B4" s="7" t="s">
        <v>99</v>
      </c>
    </row>
    <row r="5" spans="1:11" x14ac:dyDescent="0.25">
      <c r="A5" s="18">
        <f>+A4+0.1</f>
        <v>1.1000000000000001</v>
      </c>
      <c r="B5" s="1" t="s">
        <v>100</v>
      </c>
      <c r="C5" s="32">
        <f>'Financial Statements'!B42/'Financial Statements'!B56</f>
        <v>0.87935602862672257</v>
      </c>
      <c r="D5" s="32">
        <f>'Financial Statements'!C42/'Financial Statements'!C56</f>
        <v>1.0745531195957954</v>
      </c>
      <c r="E5" s="32">
        <f>'Financial Statements'!D42/'Financial Statements'!D56</f>
        <v>1.3636044481554577</v>
      </c>
    </row>
    <row r="6" spans="1:11" x14ac:dyDescent="0.25">
      <c r="A6" s="18">
        <f t="shared" ref="A6:A13" si="0">+A5+0.1</f>
        <v>1.2000000000000002</v>
      </c>
      <c r="B6" s="1" t="s">
        <v>101</v>
      </c>
      <c r="C6" s="32">
        <f>('Financial Statements'!B42-'Financial Statements'!B39)/'Financial Statements'!B56</f>
        <v>0.84723539114961488</v>
      </c>
      <c r="D6" s="32">
        <f>('Financial Statements'!C42-'Financial Statements'!C39)/'Financial Statements'!C56</f>
        <v>1.0221149018576519</v>
      </c>
      <c r="E6" s="32">
        <f>('Financial Statements'!D42-'Financial Statements'!D39)/'Financial Statements'!D56</f>
        <v>1.325072111735236</v>
      </c>
      <c r="H6" t="s">
        <v>150</v>
      </c>
    </row>
    <row r="7" spans="1:11" x14ac:dyDescent="0.25">
      <c r="A7" s="18">
        <f t="shared" si="0"/>
        <v>1.3000000000000003</v>
      </c>
      <c r="B7" s="1" t="s">
        <v>102</v>
      </c>
      <c r="C7" s="32">
        <f>'Financial Statements'!B36/'Financial Statements'!B56</f>
        <v>0.15356340351469652</v>
      </c>
      <c r="D7" s="32">
        <f>'Financial Statements'!C36/'Financial Statements'!C56</f>
        <v>0.27844853005634318</v>
      </c>
      <c r="E7" s="32">
        <f>'Financial Statements'!D36/'Financial Statements'!D56</f>
        <v>0.36071049035979963</v>
      </c>
      <c r="F7" s="24"/>
      <c r="H7" t="s">
        <v>151</v>
      </c>
    </row>
    <row r="8" spans="1:11" x14ac:dyDescent="0.25">
      <c r="A8" s="18">
        <f t="shared" si="0"/>
        <v>1.4000000000000004</v>
      </c>
      <c r="B8" s="1" t="s">
        <v>103</v>
      </c>
      <c r="C8" s="32">
        <f>'Financial Statements'!B42/(('Financial Statements'!B17-SUM('Financial Statements'!B79:B82))/365)</f>
        <v>1636.6799682087624</v>
      </c>
      <c r="D8" s="36">
        <f>'Financial Statements'!C42/(('Financial Statements'!C17-SUM('Financial Statements'!C79:C82))/365)</f>
        <v>1661.6631777972852</v>
      </c>
      <c r="E8" s="36">
        <f>'Financial Statements'!D42/(('Financial Statements'!D17-SUM('Financial Statements'!D79:D82))/365)</f>
        <v>2486.6198151220669</v>
      </c>
      <c r="F8" t="s">
        <v>185</v>
      </c>
      <c r="H8" t="s">
        <v>152</v>
      </c>
    </row>
    <row r="9" spans="1:11" x14ac:dyDescent="0.25">
      <c r="A9" s="18">
        <f t="shared" si="0"/>
        <v>1.5000000000000004</v>
      </c>
      <c r="B9" s="1" t="s">
        <v>104</v>
      </c>
      <c r="C9" s="32">
        <f>'Financial Statements'!B39/('Financial Statements'!B12/365)</f>
        <v>8.0756980666171625</v>
      </c>
      <c r="D9" s="32">
        <f>'Financial Statements'!C39/('Financial Statements'!C12/365)</f>
        <v>11.27659274770989</v>
      </c>
      <c r="E9" s="32">
        <f>'Financial Statements'!D39/('Financial Statements'!D12/365)</f>
        <v>8.7418833562358813</v>
      </c>
      <c r="H9" t="s">
        <v>153</v>
      </c>
    </row>
    <row r="10" spans="1:11" x14ac:dyDescent="0.25">
      <c r="A10" s="18">
        <f t="shared" si="0"/>
        <v>1.6000000000000005</v>
      </c>
      <c r="B10" s="1" t="s">
        <v>105</v>
      </c>
      <c r="C10" s="32">
        <f>'Financial Statements'!B51/('Financial Statements'!B12/365)</f>
        <v>104.68527730310541</v>
      </c>
      <c r="D10" s="32">
        <f>'Financial Statements'!C51/('Financial Statements'!C12/365)</f>
        <v>93.85107122231561</v>
      </c>
      <c r="E10" s="32">
        <f>'Financial Statements'!D51/('Financial Statements'!D12/365)</f>
        <v>91.048189715674184</v>
      </c>
      <c r="H10" t="s">
        <v>154</v>
      </c>
    </row>
    <row r="11" spans="1:11" x14ac:dyDescent="0.25">
      <c r="A11" s="18">
        <f t="shared" si="0"/>
        <v>1.7000000000000006</v>
      </c>
      <c r="B11" s="1" t="s">
        <v>106</v>
      </c>
      <c r="C11" s="32">
        <f>('Financial Statements'!B38/'Financial Statements'!B8)*365</f>
        <v>26.087825363656648</v>
      </c>
      <c r="D11" s="32">
        <f>('Financial Statements'!C38/'Financial Statements'!C8)*365</f>
        <v>26.219311841713207</v>
      </c>
      <c r="E11" s="32">
        <f>('Financial Statements'!D38/'Financial Statements'!D8)*365</f>
        <v>21.433437152796749</v>
      </c>
      <c r="F11" t="s">
        <v>186</v>
      </c>
      <c r="G11" t="s">
        <v>179</v>
      </c>
      <c r="H11" t="s">
        <v>155</v>
      </c>
    </row>
    <row r="12" spans="1:11" x14ac:dyDescent="0.25">
      <c r="A12" s="18">
        <f t="shared" si="0"/>
        <v>1.8000000000000007</v>
      </c>
      <c r="B12" s="1" t="s">
        <v>107</v>
      </c>
      <c r="C12" s="32">
        <f>C9+C11-C10</f>
        <v>-70.521753872831596</v>
      </c>
      <c r="D12" s="32">
        <f t="shared" ref="D12:E12" si="1">D9+D11-D10</f>
        <v>-56.355166632892512</v>
      </c>
      <c r="E12" s="32">
        <f t="shared" si="1"/>
        <v>-60.872869206641553</v>
      </c>
      <c r="H12" t="s">
        <v>156</v>
      </c>
      <c r="J12" s="25" t="s">
        <v>156</v>
      </c>
    </row>
    <row r="13" spans="1:11" x14ac:dyDescent="0.25">
      <c r="A13" s="18">
        <f t="shared" si="0"/>
        <v>1.9000000000000008</v>
      </c>
      <c r="B13" s="1" t="s">
        <v>108</v>
      </c>
      <c r="C13" s="27">
        <f>('Financial Statements'!B42-'Financial Statements'!B56)/'Financial Statements'!B8</f>
        <v>-4.711052727678481E-2</v>
      </c>
      <c r="D13" s="27">
        <f>('Financial Statements'!C42-'Financial Statements'!C56)/'Financial Statements'!C8</f>
        <v>2.557289573748623E-2</v>
      </c>
      <c r="E13" s="27">
        <f>('Financial Statements'!D42-'Financial Statements'!D56)/'Financial Statements'!D8</f>
        <v>0.13959528623208203</v>
      </c>
      <c r="F13" s="27"/>
      <c r="H13" t="s">
        <v>157</v>
      </c>
    </row>
    <row r="14" spans="1:11" x14ac:dyDescent="0.25">
      <c r="A14" s="18"/>
      <c r="B14" s="3" t="s">
        <v>109</v>
      </c>
    </row>
    <row r="15" spans="1:11" x14ac:dyDescent="0.25">
      <c r="A15" s="18"/>
    </row>
    <row r="16" spans="1:11" x14ac:dyDescent="0.25">
      <c r="A16" s="18">
        <f>+A4+1</f>
        <v>2</v>
      </c>
      <c r="B16" s="17" t="s">
        <v>110</v>
      </c>
    </row>
    <row r="17" spans="1:10" x14ac:dyDescent="0.25">
      <c r="A17" s="18">
        <f>+A16+0.1</f>
        <v>2.1</v>
      </c>
      <c r="B17" s="1"/>
      <c r="C17" s="26">
        <f>'Financial Statements'!B13/'Financial Statements'!B8</f>
        <v>0.43309630561360085</v>
      </c>
      <c r="D17" s="26">
        <f>'Financial Statements'!C13/'Financial Statements'!C8</f>
        <v>0.41779359625167778</v>
      </c>
      <c r="E17" s="26">
        <f>'Financial Statements'!D13/'Financial Statements'!D8</f>
        <v>0.38233247727810865</v>
      </c>
      <c r="F17" s="26"/>
      <c r="H17" t="s">
        <v>158</v>
      </c>
    </row>
    <row r="18" spans="1:10" x14ac:dyDescent="0.25">
      <c r="A18" s="18">
        <f>+A17+0.1</f>
        <v>2.2000000000000002</v>
      </c>
      <c r="B18" s="1" t="s">
        <v>111</v>
      </c>
      <c r="C18" s="26">
        <f>('Financial Statements'!B18+'Financial Statements'!B79)/'Financial Statements'!B8</f>
        <v>0.3310467428130896</v>
      </c>
      <c r="D18" s="26">
        <f>('Financial Statements'!C18+'Financial Statements'!C79)/'Financial Statements'!C8</f>
        <v>0.32866979938056462</v>
      </c>
      <c r="E18" s="26">
        <f>('Financial Statements'!D18+'Financial Statements'!D79)/'Financial Statements'!D8</f>
        <v>0.2817478097736007</v>
      </c>
      <c r="F18" s="26"/>
      <c r="H18" t="s">
        <v>159</v>
      </c>
    </row>
    <row r="19" spans="1:10" x14ac:dyDescent="0.25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10" x14ac:dyDescent="0.25">
      <c r="A20" s="18">
        <f>+A18+0.1</f>
        <v>2.3000000000000003</v>
      </c>
      <c r="B20" s="1" t="s">
        <v>113</v>
      </c>
      <c r="C20" s="26">
        <f>C21/'Financial Statements'!B8</f>
        <v>0.30288744395528594</v>
      </c>
      <c r="D20" s="26">
        <f>D21/'Financial Statements'!C8</f>
        <v>0.29782377527561593</v>
      </c>
      <c r="E20" s="26">
        <f>E21/'Financial Statements'!D8</f>
        <v>0.24147314354406862</v>
      </c>
      <c r="F20" s="26"/>
      <c r="H20" t="s">
        <v>160</v>
      </c>
    </row>
    <row r="21" spans="1:10" x14ac:dyDescent="0.25">
      <c r="A21" s="18"/>
      <c r="B21" s="3" t="s">
        <v>114</v>
      </c>
      <c r="C21">
        <f>'Financial Statements'!B13-'Financial Statements'!B17</f>
        <v>119437</v>
      </c>
      <c r="D21">
        <f>'Financial Statements'!C13-'Financial Statements'!C17</f>
        <v>108949</v>
      </c>
      <c r="E21">
        <f>'Financial Statements'!D13-'Financial Statements'!D17</f>
        <v>66288</v>
      </c>
    </row>
    <row r="22" spans="1:10" x14ac:dyDescent="0.25">
      <c r="A22" s="18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  <c r="F22" s="26"/>
      <c r="H22" t="s">
        <v>161</v>
      </c>
    </row>
    <row r="23" spans="1:10" x14ac:dyDescent="0.25">
      <c r="A23" s="18"/>
    </row>
    <row r="24" spans="1:10" x14ac:dyDescent="0.25">
      <c r="A24" s="18">
        <f>+A16+1</f>
        <v>3</v>
      </c>
      <c r="B24" s="7" t="s">
        <v>116</v>
      </c>
    </row>
    <row r="25" spans="1:10" x14ac:dyDescent="0.25">
      <c r="A25" s="18">
        <f>+A24+0.1</f>
        <v>3.1</v>
      </c>
      <c r="B25" s="1" t="s">
        <v>117</v>
      </c>
      <c r="C25" s="32">
        <f>'Financial Statements'!B59/'Financial Statements'!B68</f>
        <v>1.9529325860435744</v>
      </c>
      <c r="D25" s="32">
        <f>'Financial Statements'!C59/'Financial Statements'!C68</f>
        <v>1.729370740212395</v>
      </c>
      <c r="E25" s="32">
        <f>'Financial Statements'!D59/'Financial Statements'!D68</f>
        <v>1.5100782075024104</v>
      </c>
      <c r="F25" t="s">
        <v>187</v>
      </c>
      <c r="H25" t="s">
        <v>162</v>
      </c>
    </row>
    <row r="26" spans="1:10" x14ac:dyDescent="0.25">
      <c r="A26" s="18">
        <f t="shared" ref="A26:A30" si="2">+A25+0.1</f>
        <v>3.2</v>
      </c>
      <c r="B26" s="1" t="s">
        <v>118</v>
      </c>
      <c r="C26" s="32">
        <f>'Financial Statements'!B59/'Financial Statements'!B48</f>
        <v>0.28053181386514719</v>
      </c>
      <c r="D26" s="32">
        <f>'Financial Statements'!C59/'Financial Statements'!C48</f>
        <v>0.31084153366647482</v>
      </c>
      <c r="E26" s="32">
        <f>'Financial Statements'!D59/'Financial Statements'!D48</f>
        <v>0.30463308304105124</v>
      </c>
      <c r="F26" t="s">
        <v>187</v>
      </c>
      <c r="H26" t="s">
        <v>163</v>
      </c>
    </row>
    <row r="27" spans="1:10" x14ac:dyDescent="0.25">
      <c r="A27" s="18">
        <f t="shared" si="2"/>
        <v>3.3000000000000003</v>
      </c>
      <c r="B27" s="1" t="s">
        <v>119</v>
      </c>
      <c r="C27" s="32">
        <f>'Financial Statements'!B59/('Financial Statements'!B59+'Financial Statements'!B68)</f>
        <v>0.66135359651409131</v>
      </c>
      <c r="D27" s="32">
        <f>'Financial Statements'!C59/('Financial Statements'!C59+'Financial Statements'!C68)</f>
        <v>0.63361518269878514</v>
      </c>
      <c r="E27" s="32">
        <f>'Financial Statements'!D59/('Financial Statements'!D59+'Financial Statements'!D68)</f>
        <v>0.60160603880345842</v>
      </c>
      <c r="H27" t="s">
        <v>164</v>
      </c>
    </row>
    <row r="28" spans="1:10" x14ac:dyDescent="0.25">
      <c r="A28" s="18">
        <f t="shared" si="2"/>
        <v>3.4000000000000004</v>
      </c>
      <c r="B28" s="1" t="s">
        <v>120</v>
      </c>
      <c r="C28" s="32">
        <f>C21/'Financial Statements'!B114</f>
        <v>41.68830715532286</v>
      </c>
      <c r="D28" s="32">
        <f>D21/'Financial Statements'!C114</f>
        <v>40.546706363974693</v>
      </c>
      <c r="E28" s="32">
        <f>E21/'Financial Statements'!D114</f>
        <v>22.081279147235175</v>
      </c>
      <c r="H28" t="s">
        <v>165</v>
      </c>
    </row>
    <row r="29" spans="1:10" x14ac:dyDescent="0.25">
      <c r="A29" s="18">
        <f t="shared" si="2"/>
        <v>3.5000000000000004</v>
      </c>
      <c r="B29" s="1" t="s">
        <v>121</v>
      </c>
      <c r="C29" s="32">
        <f>C21/('Financial Statements'!B114+ABS('Financial Statements'!B105))</f>
        <v>9.6258059316569948</v>
      </c>
      <c r="D29" s="32">
        <f>D21/('Financial Statements'!C114+ABS('Financial Statements'!C105))</f>
        <v>9.5260120661012504</v>
      </c>
      <c r="E29" s="32">
        <f>E21/('Financial Statements'!D114+ABS('Financial Statements'!D105))</f>
        <v>4.2408035314439259</v>
      </c>
      <c r="F29" t="s">
        <v>188</v>
      </c>
      <c r="H29" t="s">
        <v>166</v>
      </c>
    </row>
    <row r="30" spans="1:10" x14ac:dyDescent="0.25">
      <c r="A30" s="18">
        <f t="shared" si="2"/>
        <v>3.6000000000000005</v>
      </c>
      <c r="B30" s="1" t="s">
        <v>122</v>
      </c>
      <c r="C30" s="24">
        <f>C31/'Financial Statements'!B28</f>
        <v>5.8630442981145387E-3</v>
      </c>
      <c r="D30" s="24">
        <f>D31/'Financial Statements'!C27</f>
        <v>6.0555866642971867E-3</v>
      </c>
      <c r="E30" s="37">
        <f>E31/'Financial Statements'!D27</f>
        <v>4.601570563226313E-3</v>
      </c>
      <c r="F30" t="s">
        <v>189</v>
      </c>
      <c r="H30" s="25" t="s">
        <v>167</v>
      </c>
      <c r="I30" s="25" t="s">
        <v>167</v>
      </c>
      <c r="J30" s="25" t="s">
        <v>167</v>
      </c>
    </row>
    <row r="31" spans="1:10" x14ac:dyDescent="0.25">
      <c r="A31" s="18"/>
      <c r="B31" s="3" t="s">
        <v>123</v>
      </c>
      <c r="C31">
        <f>'Financial Statements'!B91+'Financial Statements'!B99+'Financial Statements'!B104+'Financial Statements'!B105</f>
        <v>95719</v>
      </c>
      <c r="D31">
        <f>'Financial Statements'!C91+'Financial Statements'!C99+'Financial Statements'!C104+'Financial Statements'!C105</f>
        <v>101136</v>
      </c>
      <c r="E31">
        <f>'Financial Statements'!D91+'Financial Statements'!D99+'Financial Statements'!D104+'Financial Statements'!D105</f>
        <v>79847</v>
      </c>
      <c r="F31" t="s">
        <v>190</v>
      </c>
    </row>
    <row r="32" spans="1:10" x14ac:dyDescent="0.25">
      <c r="A32" s="18"/>
    </row>
    <row r="33" spans="1:8" x14ac:dyDescent="0.25">
      <c r="A33" s="18">
        <f>+A24+1</f>
        <v>4</v>
      </c>
      <c r="B33" s="17" t="s">
        <v>124</v>
      </c>
      <c r="H33" s="25" t="s">
        <v>168</v>
      </c>
    </row>
    <row r="34" spans="1:8" x14ac:dyDescent="0.25">
      <c r="A34" s="18">
        <f>+A33+0.1</f>
        <v>4.0999999999999996</v>
      </c>
      <c r="B34" s="1" t="s">
        <v>125</v>
      </c>
      <c r="C34" s="32">
        <f>'Financial Statements'!B8/(AVERAGE('Financial Statements'!$B$48:'Financial Statements'!$D$48))</f>
        <v>1.1511601769093414</v>
      </c>
      <c r="D34" s="32">
        <f>'Financial Statements'!C8/(AVERAGE('Financial Statements'!$B$48:'Financial Statements'!$D$48))</f>
        <v>1.0679281269309928</v>
      </c>
      <c r="E34" s="32">
        <f>'Financial Statements'!D8/(AVERAGE('Financial Statements'!$B$48:'Financial Statements'!$D$48))</f>
        <v>0.80139055802344195</v>
      </c>
    </row>
    <row r="35" spans="1:8" x14ac:dyDescent="0.25">
      <c r="A35" s="18">
        <f t="shared" ref="A35:A37" si="3">+A34+0.1</f>
        <v>4.1999999999999993</v>
      </c>
      <c r="B35" s="1" t="s">
        <v>126</v>
      </c>
      <c r="C35" s="32">
        <f>'Financial Statements'!B8/(AVERAGE('Financial Statements'!$B$47:'Financial Statements'!$D$47))</f>
        <v>1.9276541451642604</v>
      </c>
      <c r="D35" s="32">
        <f>'Financial Statements'!C8/(AVERAGE('Financial Statements'!$B$47:'Financial Statements'!$D$47))</f>
        <v>1.7882794435636176</v>
      </c>
      <c r="E35" s="32">
        <f>'Financial Statements'!D8/(AVERAGE('Financial Statements'!$B$47:'Financial Statements'!$D$47))</f>
        <v>1.3419538497387122</v>
      </c>
      <c r="H35" s="25" t="s">
        <v>169</v>
      </c>
    </row>
    <row r="36" spans="1:8" x14ac:dyDescent="0.25">
      <c r="A36" s="18">
        <f t="shared" si="3"/>
        <v>4.2999999999999989</v>
      </c>
      <c r="B36" s="1" t="s">
        <v>127</v>
      </c>
      <c r="C36" s="32">
        <f>'Financial Statements'!B12/(AVERAGE('Financial Statements'!$B$39:$D$39))</f>
        <v>43.025469942901132</v>
      </c>
      <c r="D36" s="32">
        <f>'Financial Statements'!C12/(AVERAGE('Financial Statements'!$B$39:$D$39))</f>
        <v>40.992044652595112</v>
      </c>
      <c r="E36" s="32">
        <f>'Financial Statements'!D12/(AVERAGE('Financial Statements'!$B$39:$D$39))</f>
        <v>32.634695579649708</v>
      </c>
    </row>
    <row r="37" spans="1:8" x14ac:dyDescent="0.25">
      <c r="A37" s="18">
        <f t="shared" si="3"/>
        <v>4.3999999999999986</v>
      </c>
      <c r="B37" s="1" t="s">
        <v>128</v>
      </c>
      <c r="C37" s="32">
        <f>'Financial Statements'!B76/'Financial Statements'!B48</f>
        <v>0.28292440929256851</v>
      </c>
      <c r="D37" s="32">
        <f>'Financial Statements'!C76/'Financial Statements'!C48</f>
        <v>0.26974205275183616</v>
      </c>
      <c r="E37" s="32">
        <f>'Financial Statements'!D76/'Financial Statements'!D48</f>
        <v>0.1772557180259843</v>
      </c>
    </row>
    <row r="38" spans="1:8" x14ac:dyDescent="0.25">
      <c r="A38" s="18"/>
    </row>
    <row r="39" spans="1:8" x14ac:dyDescent="0.25">
      <c r="A39" s="18">
        <f>+A33+1</f>
        <v>5</v>
      </c>
      <c r="B39" s="17" t="s">
        <v>129</v>
      </c>
    </row>
    <row r="40" spans="1:8" x14ac:dyDescent="0.25">
      <c r="A40" s="18">
        <f>+A39+0.1</f>
        <v>5.0999999999999996</v>
      </c>
      <c r="B40" s="1" t="s">
        <v>130</v>
      </c>
      <c r="C40" s="32">
        <f>137.2/'Financial Statements'!B24</f>
        <v>22.30894308943089</v>
      </c>
      <c r="D40" s="32">
        <f>139.7/'Financial Statements'!C24</f>
        <v>24.638447971781304</v>
      </c>
      <c r="E40" s="32">
        <f>113.6/'Financial Statements'!D24</f>
        <v>34.320241691842895</v>
      </c>
      <c r="G40" t="s">
        <v>170</v>
      </c>
    </row>
    <row r="41" spans="1:8" x14ac:dyDescent="0.25">
      <c r="A41" s="18">
        <f t="shared" ref="A41:A44" si="4">+A40+0.1</f>
        <v>5.1999999999999993</v>
      </c>
      <c r="B41" s="3" t="s">
        <v>131</v>
      </c>
      <c r="C41" s="32">
        <f>'Financial Statements'!B22/'Financial Statements'!B27*1000</f>
        <v>6.1546144376377772</v>
      </c>
      <c r="D41" s="32">
        <f>'Financial Statements'!C22/'Financial Statements'!C27*1000</f>
        <v>5.6690292811230192</v>
      </c>
      <c r="E41" s="32">
        <f>'Financial Statements'!D22/'Financial Statements'!D27*1000</f>
        <v>3.3085872682177895</v>
      </c>
      <c r="G41" t="s">
        <v>171</v>
      </c>
    </row>
    <row r="42" spans="1:8" x14ac:dyDescent="0.25">
      <c r="A42" s="18">
        <f t="shared" si="4"/>
        <v>5.2999999999999989</v>
      </c>
      <c r="B42" s="1" t="s">
        <v>132</v>
      </c>
      <c r="C42" s="32">
        <f>(137.2/('Financial Statements'!B68/'Financial Statements'!B27))/10000</f>
        <v>4.3906499123776443</v>
      </c>
      <c r="D42" s="32">
        <f>(139.7/('Financial Statements'!C68/'Financial Statements'!C27))/10000</f>
        <v>3.6981577086701538</v>
      </c>
      <c r="E42" s="32">
        <f>(113.6/('Financial Statements'!D68/'Financial Statements'!D27))/10000</f>
        <v>3.0168822883729476</v>
      </c>
      <c r="G42" t="s">
        <v>172</v>
      </c>
    </row>
    <row r="43" spans="1:8" x14ac:dyDescent="0.25">
      <c r="A43" s="18">
        <f t="shared" si="4"/>
        <v>5.3999999999999986</v>
      </c>
      <c r="B43" s="3" t="s">
        <v>133</v>
      </c>
      <c r="C43" s="32">
        <f>('Financial Statements'!B68/'Financial Statements'!B27)*1000</f>
        <v>3.124822127430853</v>
      </c>
      <c r="D43" s="32">
        <f>('Financial Statements'!C68/'Financial Statements'!C27)*1000</f>
        <v>3.7775565837141025</v>
      </c>
      <c r="E43" s="32">
        <f>('Financial Statements'!D68/'Financial Statements'!D27)*1000</f>
        <v>3.765476712094932</v>
      </c>
      <c r="G43" t="s">
        <v>173</v>
      </c>
    </row>
    <row r="44" spans="1:8" x14ac:dyDescent="0.25">
      <c r="A44" s="18">
        <f t="shared" si="4"/>
        <v>5.4999999999999982</v>
      </c>
      <c r="B44" s="1" t="s">
        <v>134</v>
      </c>
      <c r="C44" s="32">
        <f>C45/C41</f>
        <v>0.14870294480125848</v>
      </c>
      <c r="D44" s="32">
        <f t="shared" ref="D44:E44" si="5">D45/D41</f>
        <v>0.15279890156316012</v>
      </c>
      <c r="E44" s="32">
        <f t="shared" si="5"/>
        <v>0.2452665865426486</v>
      </c>
      <c r="G44" t="s">
        <v>174</v>
      </c>
    </row>
    <row r="45" spans="1:8" x14ac:dyDescent="0.25">
      <c r="A45" s="18"/>
      <c r="B45" s="3" t="s">
        <v>135</v>
      </c>
      <c r="C45" s="32">
        <f>ABS('Financial Statements'!B102/'Financial Statements'!B27*1000)</f>
        <v>0.91520929099307891</v>
      </c>
      <c r="D45" s="32">
        <f>ABS('Financial Statements'!C102/'Financial Statements'!C27*1000)</f>
        <v>0.86622144708498849</v>
      </c>
      <c r="E45" s="32">
        <f>ABS('Financial Statements'!D102/'Financial Statements'!D27*1000)</f>
        <v>0.81148590555424382</v>
      </c>
    </row>
    <row r="46" spans="1:8" x14ac:dyDescent="0.25">
      <c r="A46" s="18">
        <f>+A44+0.1</f>
        <v>5.5999999999999979</v>
      </c>
      <c r="B46" s="1" t="s">
        <v>136</v>
      </c>
      <c r="C46" s="26">
        <f>C45/137.2</f>
        <v>6.6706216544685053E-3</v>
      </c>
      <c r="D46" s="26">
        <f>D45/139.7</f>
        <v>6.2005830142089378E-3</v>
      </c>
      <c r="E46" s="26">
        <f>E45/113.6</f>
        <v>7.1433618446676396E-3</v>
      </c>
      <c r="F46" s="26"/>
      <c r="G46" t="s">
        <v>175</v>
      </c>
    </row>
    <row r="47" spans="1:8" x14ac:dyDescent="0.25">
      <c r="A47" s="18">
        <f t="shared" ref="A47:A50" si="6">+A45+0.1</f>
        <v>0.1</v>
      </c>
      <c r="B47" s="1" t="s">
        <v>137</v>
      </c>
      <c r="C47" s="32">
        <f>'Financial Statements'!B22/AVERAGE('Financial Statements'!B68:'Financial Statements'!D68)</f>
        <v>1.6717327094767755</v>
      </c>
      <c r="D47" s="32">
        <f>'Financial Statements'!C22/AVERAGE('Financial Statements'!C68:'Financial Statements'!E68)</f>
        <v>1.4744333444938449</v>
      </c>
      <c r="E47" s="32">
        <f>'Financial Statements'!D22/AVERAGE('Financial Statements'!D68:'Financial Statements'!F68)</f>
        <v>0.87866358530127486</v>
      </c>
      <c r="G47" t="s">
        <v>176</v>
      </c>
    </row>
    <row r="48" spans="1:8" x14ac:dyDescent="0.25">
      <c r="A48" s="18">
        <f t="shared" si="6"/>
        <v>5.6999999999999975</v>
      </c>
      <c r="B48" s="1" t="s">
        <v>138</v>
      </c>
      <c r="C48" s="38">
        <f>C21/('Financial Statements'!B59+'Financial Statements'!B68)</f>
        <v>0.79821026391589978</v>
      </c>
      <c r="D48" s="38">
        <f>D21/('Financial Statements'!C59+'Financial Statements'!C68)</f>
        <v>0.63270343097400639</v>
      </c>
      <c r="E48" s="38">
        <f>E21/('Financial Statements'!D59+'Financial Statements'!D68)</f>
        <v>0.40418033486579757</v>
      </c>
      <c r="F48" t="s">
        <v>191</v>
      </c>
      <c r="G48" t="s">
        <v>177</v>
      </c>
    </row>
    <row r="49" spans="1:6" x14ac:dyDescent="0.25">
      <c r="A49" s="18">
        <f t="shared" si="6"/>
        <v>0.2</v>
      </c>
      <c r="B49" s="1" t="s">
        <v>128</v>
      </c>
      <c r="C49" s="32">
        <f>C37</f>
        <v>0.28292440929256851</v>
      </c>
      <c r="D49" s="32">
        <f t="shared" ref="D49:E49" si="7">D37</f>
        <v>0.26974205275183616</v>
      </c>
      <c r="E49" s="32">
        <f t="shared" si="7"/>
        <v>0.1772557180259843</v>
      </c>
    </row>
    <row r="50" spans="1:6" x14ac:dyDescent="0.25">
      <c r="A50" s="18">
        <f t="shared" si="6"/>
        <v>5.7999999999999972</v>
      </c>
      <c r="B50" s="1" t="s">
        <v>139</v>
      </c>
      <c r="C50" s="32">
        <f>C51/C19</f>
        <v>19.281362689116829</v>
      </c>
      <c r="D50" s="32">
        <f t="shared" ref="D50:E50" si="8">D51/D19</f>
        <v>21.340645969076711</v>
      </c>
      <c r="E50" s="32">
        <f t="shared" si="8"/>
        <v>33.921583585022752</v>
      </c>
    </row>
    <row r="51" spans="1:6" x14ac:dyDescent="0.25">
      <c r="A51" s="18"/>
      <c r="B51" s="3" t="s">
        <v>140</v>
      </c>
      <c r="C51" s="28">
        <f>137.2*('Financial Statements'!B28/1000)+'Financial Statements'!B62-('Financial Statements'!B110)</f>
        <v>2517008.3668</v>
      </c>
      <c r="D51" s="28">
        <f>137.2*('Financial Statements'!C28/1000)+'Financial Statements'!C62-('Financial Statements'!C110)</f>
        <v>2565849.8868</v>
      </c>
      <c r="E51" s="28">
        <f>137.2*('Financial Statements'!D28/1000)+'Financial Statements'!D62-('Financial Statements'!D110)</f>
        <v>2623630.9608</v>
      </c>
      <c r="F51" t="s">
        <v>192</v>
      </c>
    </row>
    <row r="52" spans="1:6" x14ac:dyDescent="0.25">
      <c r="B52" s="7" t="s">
        <v>178</v>
      </c>
    </row>
    <row r="53" spans="1:6" x14ac:dyDescent="0.25">
      <c r="B53" s="1" t="s">
        <v>145</v>
      </c>
    </row>
    <row r="54" spans="1:6" x14ac:dyDescent="0.25">
      <c r="B54" s="1" t="s">
        <v>4</v>
      </c>
      <c r="C54" s="26">
        <f>+'Financial Statements'!B6/'Financial Statements'!C6-1</f>
        <v>6.3239764351428418E-2</v>
      </c>
      <c r="D54" s="26">
        <f>+'Financial Statements'!C6/'Financial Statements'!D6-1</f>
        <v>0.34720743656765429</v>
      </c>
      <c r="E54" s="33">
        <f>+'Financial Statements'!B6/'Financial Statements'!C6-1</f>
        <v>6.3239764351428418E-2</v>
      </c>
      <c r="F54" t="s">
        <v>194</v>
      </c>
    </row>
    <row r="55" spans="1:6" x14ac:dyDescent="0.25">
      <c r="B55" s="1" t="s">
        <v>5</v>
      </c>
      <c r="C55" s="26">
        <f>+'Financial Statements'!B7/'Financial Statements'!C7-1</f>
        <v>0.14181951041286078</v>
      </c>
      <c r="D55" s="26">
        <f>+'Financial Statements'!C7/'Financial Statements'!D7-1</f>
        <v>0.27259708376729663</v>
      </c>
    </row>
    <row r="56" spans="1:6" x14ac:dyDescent="0.25">
      <c r="B56" s="1" t="s">
        <v>180</v>
      </c>
      <c r="C56" s="26">
        <f>+'Financial Statements'!B8/'Financial Statements'!C8-1</f>
        <v>7.7937876041846099E-2</v>
      </c>
      <c r="D56" s="26">
        <f>+'Financial Statements'!C8/'Financial Statements'!D8-1</f>
        <v>0.33259384733074704</v>
      </c>
    </row>
    <row r="57" spans="1:6" x14ac:dyDescent="0.25">
      <c r="B57" s="1" t="s">
        <v>89</v>
      </c>
      <c r="C57" s="26">
        <f>+'Financial Statements'!B13/'Financial Statements'!C13-1</f>
        <v>0.1174199795859614</v>
      </c>
      <c r="D57" s="26">
        <f>+'Financial Statements'!C13/'Financial Statements'!D13-1</f>
        <v>0.45619116582186825</v>
      </c>
    </row>
    <row r="58" spans="1:6" x14ac:dyDescent="0.25">
      <c r="B58" s="1" t="s">
        <v>90</v>
      </c>
      <c r="C58" s="26" t="e">
        <f>+'Financial Statements'!B14/'Financial Statements'!C14-1</f>
        <v>#DIV/0!</v>
      </c>
    </row>
    <row r="59" spans="1:6" x14ac:dyDescent="0.25">
      <c r="B59" s="1" t="s">
        <v>181</v>
      </c>
      <c r="C59" s="26">
        <f>+'Financial Statements'!B15/'Financial Statements'!C15-1</f>
        <v>0.19791001186456136</v>
      </c>
      <c r="D59" s="26">
        <f>+'Financial Statements'!C15/'Financial Statements'!D15-1</f>
        <v>0.16862201365187723</v>
      </c>
    </row>
    <row r="60" spans="1:6" x14ac:dyDescent="0.25">
      <c r="B60" s="1" t="s">
        <v>182</v>
      </c>
      <c r="C60" s="26">
        <f>+'Financial Statements'!B16/'Financial Statements'!C16-1</f>
        <v>0.14203795567287125</v>
      </c>
      <c r="D60" s="26">
        <f>+'Financial Statements'!C16/'Financial Statements'!D16-1</f>
        <v>0.10328379192608961</v>
      </c>
    </row>
    <row r="61" spans="1:6" x14ac:dyDescent="0.25">
      <c r="B61" s="1" t="s">
        <v>183</v>
      </c>
      <c r="C61" s="26">
        <f>+'Financial Statements'!B17/'Financial Statements'!C17-1</f>
        <v>0.16993642764372141</v>
      </c>
      <c r="D61" s="26">
        <f>+'Financial Statements'!C17/'Financial Statements'!D17-1</f>
        <v>0.13496948381090301</v>
      </c>
    </row>
    <row r="62" spans="1:6" x14ac:dyDescent="0.25">
      <c r="B62" s="1" t="s">
        <v>91</v>
      </c>
      <c r="C62" s="26"/>
    </row>
    <row r="63" spans="1:6" x14ac:dyDescent="0.25">
      <c r="B63" s="29" t="s">
        <v>31</v>
      </c>
      <c r="C63" s="26">
        <f>+'Financial Statements'!B42/'Financial Statements'!C42-1</f>
        <v>4.2199412619774446E-3</v>
      </c>
      <c r="D63" s="26">
        <f>+'Financial Statements'!C42/'Financial Statements'!D42-1</f>
        <v>-6.1768942266879123E-2</v>
      </c>
    </row>
    <row r="64" spans="1:6" x14ac:dyDescent="0.25">
      <c r="B64" s="29" t="s">
        <v>50</v>
      </c>
      <c r="C64" s="26">
        <f>+'Financial Statements'!B47/'Financial Statements'!C47-1</f>
        <v>5.477272096444441E-3</v>
      </c>
      <c r="D64" s="26">
        <f>+'Financial Statements'!C47/'Financial Statements'!D47-1</f>
        <v>0.19975579297904811</v>
      </c>
    </row>
    <row r="65" spans="2:6" ht="15.75" thickBot="1" x14ac:dyDescent="0.3">
      <c r="B65" s="30" t="s">
        <v>33</v>
      </c>
      <c r="C65" s="26">
        <f>+'Financial Statements'!B48/'Financial Statements'!C48-1</f>
        <v>4.994273536902849E-3</v>
      </c>
      <c r="D65" s="26">
        <f>+'Financial Statements'!C48/'Financial Statements'!D48-1</f>
        <v>8.3714123400681739E-2</v>
      </c>
    </row>
    <row r="66" spans="2:6" ht="15.75" thickTop="1" x14ac:dyDescent="0.25">
      <c r="B66" s="29" t="s">
        <v>40</v>
      </c>
      <c r="C66" s="26">
        <f>+'Financial Statements'!B56/'Financial Statements'!C56-1</f>
        <v>0.22713398841258825</v>
      </c>
      <c r="D66" s="26">
        <f>+'Financial Statements'!C56/'Financial Statements'!D56-1</f>
        <v>0.19061219067860935</v>
      </c>
    </row>
    <row r="67" spans="2:6" x14ac:dyDescent="0.25">
      <c r="B67" s="31" t="s">
        <v>53</v>
      </c>
      <c r="C67" s="26">
        <f>+'Financial Statements'!B61/'Financial Statements'!C61-1</f>
        <v>-8.8222075835277747E-2</v>
      </c>
      <c r="D67" s="26">
        <f>+'Financial Statements'!C61/'Financial Statements'!D61-1</f>
        <v>6.0552243775994663E-2</v>
      </c>
    </row>
    <row r="68" spans="2:6" x14ac:dyDescent="0.25">
      <c r="B68" s="29" t="s">
        <v>41</v>
      </c>
      <c r="C68" s="26">
        <f>+'Financial Statements'!B62/'Financial Statements'!C62-1</f>
        <v>4.9219900525160565E-2</v>
      </c>
      <c r="D68" s="26">
        <f>+'Financial Statements'!C62/'Financial Statements'!D62-1</f>
        <v>0.11356841449783217</v>
      </c>
    </row>
    <row r="69" spans="2:6" x14ac:dyDescent="0.25">
      <c r="B69" s="29" t="s">
        <v>45</v>
      </c>
      <c r="C69" s="26">
        <f>+'Financial Statements'!B68/'Financial Statements'!C68-1</f>
        <v>-0.19682992550324929</v>
      </c>
      <c r="D69" s="26">
        <f>+'Financial Statements'!C68/'Financial Statements'!D68-1</f>
        <v>-3.4420483937617652E-2</v>
      </c>
    </row>
    <row r="70" spans="2:6" ht="15.75" thickBot="1" x14ac:dyDescent="0.3">
      <c r="B70" s="30" t="s">
        <v>46</v>
      </c>
      <c r="C70" s="26">
        <f>+'Financial Statements'!B69/'Financial Statements'!C69-1</f>
        <v>4.994273536902849E-3</v>
      </c>
      <c r="D70" s="26">
        <f>+'Financial Statements'!C69/'Financial Statements'!D69-1</f>
        <v>8.3714123400681739E-2</v>
      </c>
    </row>
    <row r="71" spans="2:6" ht="15.75" thickTop="1" x14ac:dyDescent="0.25"/>
    <row r="72" spans="2:6" x14ac:dyDescent="0.25">
      <c r="B72" s="7" t="s">
        <v>184</v>
      </c>
    </row>
    <row r="73" spans="2:6" x14ac:dyDescent="0.25">
      <c r="B73" s="1" t="s">
        <v>146</v>
      </c>
      <c r="C73" s="26">
        <f>'Financial Statements'!B12/'Financial Statements'!B8</f>
        <v>0.56690369438639909</v>
      </c>
      <c r="D73" s="26">
        <f>'Financial Statements'!C12/'Financial Statements'!C8</f>
        <v>0.58220640374832222</v>
      </c>
      <c r="E73" s="26">
        <f>'Financial Statements'!D12/'Financial Statements'!D8</f>
        <v>0.61766752272189129</v>
      </c>
      <c r="F73" s="26"/>
    </row>
    <row r="74" spans="2:6" x14ac:dyDescent="0.25">
      <c r="B74" s="1" t="s">
        <v>89</v>
      </c>
      <c r="C74" s="26">
        <f>'Financial Statements'!B13/'Financial Statements'!B8</f>
        <v>0.43309630561360085</v>
      </c>
      <c r="D74" s="26">
        <f>'Financial Statements'!C13/'Financial Statements'!C8</f>
        <v>0.41779359625167778</v>
      </c>
      <c r="E74" s="26">
        <f>'Financial Statements'!D13/'Financial Statements'!D8</f>
        <v>0.38233247727810865</v>
      </c>
      <c r="F74" s="26"/>
    </row>
    <row r="75" spans="2:6" x14ac:dyDescent="0.25">
      <c r="B75" s="1" t="s">
        <v>90</v>
      </c>
    </row>
    <row r="76" spans="2:6" x14ac:dyDescent="0.25">
      <c r="B76" s="1" t="s">
        <v>181</v>
      </c>
      <c r="C76" s="27">
        <f>'Financial Statements'!B15/'Financial Statements'!B8</f>
        <v>6.657148363798665E-2</v>
      </c>
      <c r="D76" s="26">
        <f>'Financial Statements'!C15/'Financial Statements'!C8</f>
        <v>5.9904269074427925E-2</v>
      </c>
      <c r="E76" s="26">
        <f>'Financial Statements'!D15/'Financial Statements'!D8</f>
        <v>6.8309564140393061E-2</v>
      </c>
      <c r="F76" s="26"/>
    </row>
    <row r="77" spans="2:6" x14ac:dyDescent="0.25">
      <c r="B77" s="1" t="s">
        <v>182</v>
      </c>
      <c r="C77" s="26">
        <f>'Financial Statements'!B16/'Financial Statements'!B8</f>
        <v>6.3637378020328261E-2</v>
      </c>
      <c r="D77" s="26">
        <f>'Financial Statements'!C16/'Financial Statements'!C8</f>
        <v>6.006555190163388E-2</v>
      </c>
      <c r="E77" s="26">
        <f>'Financial Statements'!D16/'Financial Statements'!D8</f>
        <v>7.2549769593646979E-2</v>
      </c>
      <c r="F77" s="26"/>
    </row>
    <row r="78" spans="2:6" x14ac:dyDescent="0.25">
      <c r="B78" s="1" t="s">
        <v>183</v>
      </c>
      <c r="C78" s="26">
        <f>'Financial Statements'!B17/'Financial Statements'!B8</f>
        <v>0.13020886165831491</v>
      </c>
      <c r="D78" s="26">
        <f>'Financial Statements'!C17/'Financial Statements'!C8</f>
        <v>0.11996982097606181</v>
      </c>
      <c r="E78" s="26">
        <f>'Financial Statements'!D17/'Financial Statements'!D8</f>
        <v>0.14085933373404003</v>
      </c>
      <c r="F78" s="26"/>
    </row>
    <row r="79" spans="2:6" x14ac:dyDescent="0.25">
      <c r="B79" s="1" t="s">
        <v>14</v>
      </c>
      <c r="C79" s="26">
        <f>'Financial Statements'!B18/'Financial Statements'!B8</f>
        <v>0.30288744395528594</v>
      </c>
      <c r="D79" s="26">
        <f>'Financial Statements'!C18/'Financial Statements'!C8</f>
        <v>0.29782377527561593</v>
      </c>
      <c r="E79" s="26">
        <f>'Financial Statements'!D18/'Financial Statements'!D8</f>
        <v>0.24147314354406862</v>
      </c>
      <c r="F79" s="26"/>
    </row>
    <row r="80" spans="2:6" x14ac:dyDescent="0.25">
      <c r="B80" s="1" t="s">
        <v>93</v>
      </c>
      <c r="C80" s="26">
        <f>'Financial Statements'!B76/'Financial Statements'!B8</f>
        <v>0.25309640705199732</v>
      </c>
      <c r="D80" s="26">
        <f>'Financial Statements'!C76/'Financial Statements'!C8</f>
        <v>0.25881793355694238</v>
      </c>
      <c r="E80" s="26">
        <f>'Financial Statements'!D76/'Financial Statements'!D8</f>
        <v>0.20913611278072236</v>
      </c>
      <c r="F80" s="26"/>
    </row>
    <row r="82" spans="2:6" x14ac:dyDescent="0.25">
      <c r="B82" s="1" t="s">
        <v>94</v>
      </c>
      <c r="C82" s="26">
        <f>'Financial Statements'!B113/'Financial Statements'!B76</f>
        <v>0.19611634920793963</v>
      </c>
      <c r="D82" s="26">
        <f>'Financial Statements'!C113/'Financial Statements'!C76</f>
        <v>0.26811364596535697</v>
      </c>
      <c r="E82" s="26">
        <f>'Financial Statements'!D113/'Financial Statements'!D76</f>
        <v>0.16549093379317553</v>
      </c>
      <c r="F82" s="26"/>
    </row>
    <row r="83" spans="2:6" x14ac:dyDescent="0.25">
      <c r="B83" s="1" t="s">
        <v>95</v>
      </c>
      <c r="C83" s="26">
        <f>-'Financial Statements'!B108/'Financial Statements'!B8</f>
        <v>0.28085502424377673</v>
      </c>
      <c r="D83" s="26">
        <f>-'Financial Statements'!C108/'Financial Statements'!C8</f>
        <v>0.25519043674842884</v>
      </c>
      <c r="E83" s="26">
        <f>-'Financial Statements'!D108/'Financial Statements'!D8</f>
        <v>0.31626687066280529</v>
      </c>
      <c r="F83" s="26" t="s">
        <v>193</v>
      </c>
    </row>
    <row r="84" spans="2:6" x14ac:dyDescent="0.25">
      <c r="B84" s="1" t="s">
        <v>96</v>
      </c>
      <c r="C84" s="26">
        <f>-'Financial Statements'!B108/'Financial Statements'!B47</f>
        <v>0.50954221302047387</v>
      </c>
      <c r="D84" s="26">
        <f>-'Financial Statements'!C108/'Financial Statements'!C47</f>
        <v>0.43185792400284967</v>
      </c>
      <c r="E84" s="26">
        <f>-'Financial Statements'!D108/'Financial Statements'!D47</f>
        <v>0.4818648536145414</v>
      </c>
      <c r="F84" s="26" t="s">
        <v>193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codynikolaicall@gmail.com</cp:lastModifiedBy>
  <dcterms:created xsi:type="dcterms:W3CDTF">2020-05-18T16:32:37Z</dcterms:created>
  <dcterms:modified xsi:type="dcterms:W3CDTF">2023-11-21T02:57:27Z</dcterms:modified>
</cp:coreProperties>
</file>