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8A66350-B826-49D1-97F9-42EF3A2CCE8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D31" i="3" l="1"/>
  <c r="D30" i="3" s="1"/>
  <c r="D43" i="3"/>
  <c r="E43" i="3"/>
  <c r="C43" i="3"/>
  <c r="L27" i="3"/>
  <c r="L26" i="3" s="1"/>
  <c r="M27" i="3"/>
  <c r="E31" i="3" s="1"/>
  <c r="E30" i="3" s="1"/>
  <c r="K27" i="3"/>
  <c r="K26" i="3" s="1"/>
  <c r="D29" i="3"/>
  <c r="E29" i="3"/>
  <c r="C29" i="3"/>
  <c r="D10" i="3"/>
  <c r="E10" i="3"/>
  <c r="C10" i="3"/>
  <c r="L25" i="3"/>
  <c r="M25" i="3"/>
  <c r="K24" i="3"/>
  <c r="L24" i="3"/>
  <c r="M24" i="3"/>
  <c r="K21" i="3"/>
  <c r="L21" i="3"/>
  <c r="M21" i="3"/>
  <c r="K20" i="3"/>
  <c r="L20" i="3"/>
  <c r="M20" i="3"/>
  <c r="K19" i="3"/>
  <c r="L19" i="3"/>
  <c r="M19" i="3"/>
  <c r="K18" i="3"/>
  <c r="L18" i="3"/>
  <c r="M18" i="3"/>
  <c r="K17" i="3"/>
  <c r="L17" i="3"/>
  <c r="M17" i="3"/>
  <c r="K14" i="3"/>
  <c r="L14" i="3"/>
  <c r="K13" i="3"/>
  <c r="L13" i="3"/>
  <c r="K12" i="3"/>
  <c r="L12" i="3"/>
  <c r="K11" i="3"/>
  <c r="L11" i="3"/>
  <c r="K10" i="3"/>
  <c r="L10" i="3"/>
  <c r="K9" i="3"/>
  <c r="L9" i="3"/>
  <c r="K8" i="3"/>
  <c r="L8" i="3"/>
  <c r="K7" i="3"/>
  <c r="L7" i="3"/>
  <c r="K6" i="3"/>
  <c r="L6" i="3"/>
  <c r="K5" i="3"/>
  <c r="L5" i="3"/>
  <c r="E50" i="3"/>
  <c r="D50" i="3"/>
  <c r="C50" i="3"/>
  <c r="D49" i="3"/>
  <c r="E49" i="3"/>
  <c r="C49" i="3"/>
  <c r="D48" i="3"/>
  <c r="E48" i="3"/>
  <c r="C48" i="3"/>
  <c r="D47" i="3"/>
  <c r="E47" i="3"/>
  <c r="C47" i="3"/>
  <c r="E42" i="3"/>
  <c r="D42" i="3"/>
  <c r="C42" i="3"/>
  <c r="E41" i="3"/>
  <c r="E40" i="3"/>
  <c r="D41" i="3"/>
  <c r="C41" i="3"/>
  <c r="C40" i="3"/>
  <c r="D40" i="3"/>
  <c r="D37" i="3"/>
  <c r="E37" i="3"/>
  <c r="C37" i="3"/>
  <c r="D36" i="3"/>
  <c r="E36" i="3"/>
  <c r="C36" i="3"/>
  <c r="D35" i="3"/>
  <c r="E35" i="3"/>
  <c r="C35" i="3"/>
  <c r="D34" i="3"/>
  <c r="E34" i="3"/>
  <c r="C34" i="3"/>
  <c r="D28" i="3"/>
  <c r="E28" i="3"/>
  <c r="C28" i="3"/>
  <c r="D27" i="3"/>
  <c r="E27" i="3"/>
  <c r="C27" i="3"/>
  <c r="D26" i="3"/>
  <c r="E26" i="3"/>
  <c r="C26" i="3"/>
  <c r="C25" i="3"/>
  <c r="D25" i="3"/>
  <c r="E25" i="3"/>
  <c r="D22" i="3"/>
  <c r="E22" i="3"/>
  <c r="C22" i="3"/>
  <c r="D20" i="3"/>
  <c r="E20" i="3"/>
  <c r="D21" i="3"/>
  <c r="E21" i="3"/>
  <c r="C21" i="3"/>
  <c r="C20" i="3" s="1"/>
  <c r="C19" i="3"/>
  <c r="C18" i="3" s="1"/>
  <c r="D19" i="3"/>
  <c r="D18" i="3" s="1"/>
  <c r="E19" i="3"/>
  <c r="E18" i="3" s="1"/>
  <c r="D17" i="3"/>
  <c r="E17" i="3"/>
  <c r="C17" i="3"/>
  <c r="D14" i="3"/>
  <c r="D13" i="3" s="1"/>
  <c r="E14" i="3"/>
  <c r="E13" i="3" s="1"/>
  <c r="C14" i="3"/>
  <c r="C13" i="3" s="1"/>
  <c r="D11" i="3"/>
  <c r="E11" i="3"/>
  <c r="C11" i="3"/>
  <c r="D9" i="3"/>
  <c r="D12" i="3" s="1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K25" i="3" l="1"/>
  <c r="M26" i="3"/>
  <c r="C12" i="3"/>
  <c r="C31" i="3"/>
  <c r="C30" i="3" s="1"/>
  <c r="E12" i="3"/>
  <c r="C105" i="2"/>
  <c r="D105" i="2"/>
  <c r="B105" i="2"/>
  <c r="C99" i="2"/>
  <c r="D99" i="2"/>
  <c r="B98" i="2"/>
  <c r="B97" i="2"/>
  <c r="B94" i="2"/>
  <c r="B92" i="2"/>
  <c r="C92" i="2"/>
  <c r="C107" i="2" s="1"/>
  <c r="C108" i="2" s="1"/>
  <c r="D92" i="2"/>
  <c r="D107" i="2" s="1"/>
  <c r="D108" i="2" s="1"/>
  <c r="B70" i="2"/>
  <c r="C70" i="2"/>
  <c r="D70" i="2"/>
  <c r="B61" i="2"/>
  <c r="C61" i="2"/>
  <c r="D61" i="2"/>
  <c r="B56" i="2"/>
  <c r="C56" i="2"/>
  <c r="D56" i="2"/>
  <c r="B49" i="2"/>
  <c r="C49" i="2"/>
  <c r="D49" i="2"/>
  <c r="B43" i="2"/>
  <c r="C43" i="2"/>
  <c r="D43" i="2"/>
  <c r="B17" i="2"/>
  <c r="C17" i="2"/>
  <c r="D17" i="2"/>
  <c r="B8" i="2"/>
  <c r="B10" i="2" s="1"/>
  <c r="C8" i="2"/>
  <c r="C10" i="2" s="1"/>
  <c r="D8" i="2"/>
  <c r="D10" i="2" s="1"/>
  <c r="C18" i="2" l="1"/>
  <c r="C22" i="2" s="1"/>
  <c r="C25" i="2" s="1"/>
  <c r="B99" i="2"/>
  <c r="B107" i="2"/>
  <c r="B108" i="2" s="1"/>
  <c r="B50" i="2"/>
  <c r="C62" i="2"/>
  <c r="C71" i="2" s="1"/>
  <c r="B62" i="2"/>
  <c r="B71" i="2" s="1"/>
  <c r="D50" i="2"/>
  <c r="D62" i="2"/>
  <c r="D71" i="2" s="1"/>
  <c r="C50" i="2"/>
  <c r="D18" i="2"/>
  <c r="D22" i="2" s="1"/>
  <c r="D25" i="2" s="1"/>
  <c r="B18" i="2"/>
  <c r="B22" i="2" s="1"/>
  <c r="B25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<sst xmlns="http://schemas.openxmlformats.org/spreadsheetml/2006/main" count="207" uniqueCount="187">
  <si>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</si>
  <si>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</si>
  <si>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</si>
  <si>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</si>
  <si>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</si>
  <si>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</si>
  <si>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</si>
  <si>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</si>
  <si>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</si>
  <si>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</si>
  <si>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</si>
  <si>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</si>
  <si>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</si>
  <si>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</si>
  <si>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</si>
  <si>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</si>
  <si>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</si>
  <si>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</si>
  <si>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</si>
  <si>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</si>
  <si>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</si>
  <si>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</si>
  <si>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</si>
  <si>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</si>
  <si>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</si>
  <si>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</si>
  <si>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</si>
  <si>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</si>
  <si>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</si>
  <si>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</si>
  <si>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</si>
  <si>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</si>
  <si>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</si>
  <si>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</si>
  <si>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</si>
  <si>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</si>
  <si>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</si>
  <si>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</si>
  <si>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</si>
  <si>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</si>
  <si>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</si>
  <si>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</si>
  <si>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</si>
  <si>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</si>
  <si>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</si>
  <si>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</si>
  <si>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</si>
  <si>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</si>
  <si>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</si>
  <si>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</si>
  <si>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</si>
  <si>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</si>
  <si>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</si>
  <si>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</si>
  <si>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</si>
  <si>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</si>
  <si>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</si>
  <si>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</si>
  <si>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</si>
  <si>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</si>
  <si>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</si>
  <si>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 xml:space="preserve">Amazon Inc. </t>
  </si>
  <si>
    <t>Net sales:</t>
  </si>
  <si>
    <t>Products</t>
  </si>
  <si>
    <t>Services</t>
  </si>
  <si>
    <t>Total net sales</t>
  </si>
  <si>
    <t>Cost of sales</t>
  </si>
  <si>
    <t>Operating expenses:</t>
  </si>
  <si>
    <t xml:space="preserve">Fulfillment </t>
  </si>
  <si>
    <t>Technology and Content</t>
  </si>
  <si>
    <t xml:space="preserve">Marketing </t>
  </si>
  <si>
    <t>General and Adminstrative</t>
  </si>
  <si>
    <t>Other operating expense (income), net</t>
  </si>
  <si>
    <t>Total operating expenses</t>
  </si>
  <si>
    <t>Operating income</t>
  </si>
  <si>
    <t>Net income</t>
  </si>
  <si>
    <t xml:space="preserve">Interest income </t>
  </si>
  <si>
    <t>Interest expense</t>
  </si>
  <si>
    <t>Other income (expense), net</t>
  </si>
  <si>
    <t>Income before provision for income taxes</t>
  </si>
  <si>
    <t>Provision for income taxes</t>
  </si>
  <si>
    <t>Equity-method investment activity, net of tax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</si>
  <si>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</si>
  <si>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</si>
  <si>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</si>
  <si>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</si>
  <si>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</si>
  <si>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</si>
  <si>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</si>
  <si>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Inventories</t>
  </si>
  <si>
    <t xml:space="preserve">Accounts receivable, net and other </t>
  </si>
  <si>
    <t>Total current assets</t>
  </si>
  <si>
    <t>Non current assets:</t>
  </si>
  <si>
    <t xml:space="preserve">Property and equipment, net </t>
  </si>
  <si>
    <t>Operating leases</t>
  </si>
  <si>
    <t>Goodwill</t>
  </si>
  <si>
    <t>Other assets</t>
  </si>
  <si>
    <t>Total non current assets</t>
  </si>
  <si>
    <t>Total assets</t>
  </si>
  <si>
    <t>Current liabilities:</t>
  </si>
  <si>
    <t>Accounts Payable</t>
  </si>
  <si>
    <t>Accrued expenses and other</t>
  </si>
  <si>
    <t xml:space="preserve">Unearned revenue </t>
  </si>
  <si>
    <t>Total current liabilities</t>
  </si>
  <si>
    <t>Non current liabilities:</t>
  </si>
  <si>
    <t>Lease</t>
  </si>
  <si>
    <t>Term debt</t>
  </si>
  <si>
    <t xml:space="preserve">Other non current-liabilities </t>
  </si>
  <si>
    <t>Total non current liabilities</t>
  </si>
  <si>
    <t>Total liabilities</t>
  </si>
  <si>
    <t>Shareholders’ equity:</t>
  </si>
  <si>
    <t>Common &amp; Preferred stock, $0.01 par value</t>
  </si>
  <si>
    <t>Treasury stock, at cost</t>
  </si>
  <si>
    <t xml:space="preserve">Additional paid-in capital </t>
  </si>
  <si>
    <t>Accumulated other comprehensive income/(loss)</t>
  </si>
  <si>
    <t>Retained Earnings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</si>
  <si>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</si>
  <si>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</si>
  <si>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</si>
  <si>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</si>
  <si>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</si>
  <si>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</si>
  <si>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Changes in operating assets and liabilities:</t>
  </si>
  <si>
    <t>Cash generated by operating activities</t>
  </si>
  <si>
    <t>Investing activities:</t>
  </si>
  <si>
    <t>Accounts receivable, net and other</t>
  </si>
  <si>
    <t>Accounts payable</t>
  </si>
  <si>
    <t>Unearned revenue</t>
  </si>
  <si>
    <t>Cash generated by/(used in) investing activities</t>
  </si>
  <si>
    <t>Purchases of property and equipment</t>
  </si>
  <si>
    <t>Proceeds from property and equipment sales and incentives</t>
  </si>
  <si>
    <t>Acquisitions, net of cash acquired, and other</t>
  </si>
  <si>
    <t xml:space="preserve">Sales and maturities of marketable securities </t>
  </si>
  <si>
    <t>Purchases of marketable securities</t>
  </si>
  <si>
    <t>Financing activities:</t>
  </si>
  <si>
    <t>Proceeds from long-term debt and other</t>
  </si>
  <si>
    <t>Repayments of long-term debt and other</t>
  </si>
  <si>
    <t>Principal repayments of finance leases</t>
  </si>
  <si>
    <t>Principal repayments of financing obligations</t>
  </si>
  <si>
    <t>Cash used in financing activities</t>
  </si>
  <si>
    <t>Foreign currency effect on cash, cash equivalents, and restricted cash</t>
  </si>
  <si>
    <t>Increase/(Decrease) in cash, cash equivalents and restricted</t>
  </si>
  <si>
    <t>Cash, cash equivalents and restricted cash, ending balances</t>
  </si>
  <si>
    <t>Stock-based compensation</t>
  </si>
  <si>
    <t>Other expense (income), net</t>
  </si>
  <si>
    <t>Deferred income taxes</t>
  </si>
  <si>
    <t>Supplemental cash flow disclosure:</t>
  </si>
  <si>
    <t xml:space="preserve">Cash paid for interest on long-term debt </t>
  </si>
  <si>
    <t>Cash paid for operating leases</t>
  </si>
  <si>
    <t>Cash paid for interest on finance leases</t>
  </si>
  <si>
    <t xml:space="preserve">Cash paid for interest on financing obligations </t>
  </si>
  <si>
    <t xml:space="preserve">Cash paid for income taxes, net of refunds </t>
  </si>
  <si>
    <t>Assets acquired under operating leases</t>
  </si>
  <si>
    <t xml:space="preserve">Property and equipment acquired under finance leases </t>
  </si>
  <si>
    <t>Property and equipment acquired under build-to-suit arrangements</t>
  </si>
  <si>
    <t>Years ended (In Million)</t>
  </si>
  <si>
    <t>Additional Tasks</t>
  </si>
  <si>
    <t>% Increase Product Sales</t>
  </si>
  <si>
    <t>-</t>
  </si>
  <si>
    <t>% Increase Service Sales</t>
  </si>
  <si>
    <t>% Increase in Net Sales</t>
  </si>
  <si>
    <t>% Increase Gross Profit</t>
  </si>
  <si>
    <t>% Increase Operating Profit</t>
  </si>
  <si>
    <t>% Increase Net Profit</t>
  </si>
  <si>
    <t>% Increase Assets</t>
  </si>
  <si>
    <t>% Increase Liabilities</t>
  </si>
  <si>
    <t>COGS as % of Net Sales</t>
  </si>
  <si>
    <t>Gross Profit as % of Net Sales</t>
  </si>
  <si>
    <t>Operating Income as % of Net Sales</t>
  </si>
  <si>
    <t>Net Income as % of Net Sales</t>
  </si>
  <si>
    <t>Income tax rate</t>
  </si>
  <si>
    <t>Capex as a percentage of sales</t>
  </si>
  <si>
    <t>Capex as a percentage of fixed assets</t>
  </si>
  <si>
    <t>CAPEX</t>
  </si>
  <si>
    <t>Amazon does not pay dividends</t>
  </si>
  <si>
    <t>% Increase Operating Expenses</t>
  </si>
  <si>
    <t>% Increase Equity</t>
  </si>
  <si>
    <t>Operating Expenses as % of Net Sales</t>
  </si>
  <si>
    <t>Daily Operational expense have to be divided by 365</t>
  </si>
  <si>
    <t>Should be divided by cost of sales</t>
  </si>
  <si>
    <t>Market Cap + Total Debt - (Cash + Cash Equivalents), where market cap = Share price *diluted number of shares</t>
  </si>
  <si>
    <t>Include all the interest payments you have added in the times interest earned ratio to this formula</t>
  </si>
  <si>
    <t>Capex should be net of proceeds from sale of PPE and repayments should be net of proceeds from issuance of debt</t>
  </si>
  <si>
    <t>should be divided by Financial Statements row 31. Do not divide by 1000 for this company</t>
  </si>
  <si>
    <t>Feedback</t>
  </si>
  <si>
    <t>Current Assets / Daily Operational Expenses where Daily Operational Expenses = (Annual Operating Expenses - Noncash Charges) / 365</t>
  </si>
  <si>
    <t>You have multiplied the share count stated in the company reports by 1000, please remove that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</si>
</sst>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$-4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5" fontId="2" fillId="0" borderId="0" xfId="1" applyNumberFormat="1" applyFont="1" applyBorder="1"/>
    <xf numFmtId="165" fontId="2" fillId="0" borderId="3" xfId="1" applyNumberFormat="1" applyFont="1" applyBorder="1"/>
    <xf numFmtId="165" fontId="1" fillId="0" borderId="0" xfId="1" applyNumberFormat="1" applyFont="1" applyBorder="1"/>
    <xf numFmtId="165" fontId="1" fillId="0" borderId="0" xfId="1" applyNumberFormat="1" applyFont="1"/>
    <xf numFmtId="0" fontId="2" fillId="0" borderId="3" xfId="0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165" fontId="0" fillId="0" borderId="0" xfId="1" applyNumberFormat="1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11" fillId="2" borderId="0" xfId="0" applyFont="1" applyFill="1" applyAlignment="1">
      <alignment horizont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2" sqref="A12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zoomScaleNormal="100" workbookViewId="0">
      <selection activeCell="B8" sqref="B8"/>
    </sheetView>
  </sheetViews>
  <sheetFormatPr defaultColWidth="8.77734375" defaultRowHeight="14.4" x14ac:dyDescent="0.3"/>
  <cols>
    <col min="1" max="1" width="59" customWidth="1"/>
    <col min="2" max="2" width="11.44140625" bestFit="1" customWidth="1"/>
    <col min="3" max="3" width="12" customWidth="1"/>
    <col min="4" max="4" width="11.33203125" customWidth="1"/>
  </cols>
  <sheetData>
    <row r="1" spans="1:10" ht="60" customHeight="1" x14ac:dyDescent="0.3">
      <c r="A1" s="7" t="s">
        <v>61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8" t="s">
        <v>10</v>
      </c>
      <c r="B2" s="48"/>
      <c r="C2" s="48"/>
      <c r="D2" s="48"/>
    </row>
    <row r="3" spans="1:10" x14ac:dyDescent="0.3">
      <c r="B3" s="47" t="s">
        <v>56</v>
      </c>
      <c r="C3" s="47"/>
      <c r="D3" s="47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62</v>
      </c>
    </row>
    <row r="6" spans="1:10" x14ac:dyDescent="0.3">
      <c r="A6" s="1" t="s">
        <v>63</v>
      </c>
      <c r="B6" s="10">
        <v>160408</v>
      </c>
      <c r="C6" s="10">
        <v>141915</v>
      </c>
      <c r="D6" s="10">
        <v>118573</v>
      </c>
    </row>
    <row r="7" spans="1:10" x14ac:dyDescent="0.3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3">
      <c r="A8" s="11" t="s">
        <v>65</v>
      </c>
      <c r="B8" s="12">
        <f>SUM(B6:B7)</f>
        <v>280522</v>
      </c>
      <c r="C8" s="12">
        <f>SUM(C6:C7)</f>
        <v>232887</v>
      </c>
      <c r="D8" s="12">
        <f>SUM(D6:D7)</f>
        <v>177866</v>
      </c>
    </row>
    <row r="9" spans="1:10" x14ac:dyDescent="0.3">
      <c r="A9" t="s">
        <v>66</v>
      </c>
      <c r="B9" s="10">
        <v>165536</v>
      </c>
      <c r="C9" s="10">
        <v>139156</v>
      </c>
      <c r="D9" s="10">
        <v>111934</v>
      </c>
    </row>
    <row r="10" spans="1:10" x14ac:dyDescent="0.3">
      <c r="A10" s="11" t="s">
        <v>11</v>
      </c>
      <c r="B10" s="12">
        <f>B8-B9</f>
        <v>114986</v>
      </c>
      <c r="C10" s="12">
        <f t="shared" ref="C10:D10" si="0">C8-C9</f>
        <v>93731</v>
      </c>
      <c r="D10" s="12">
        <f t="shared" si="0"/>
        <v>65932</v>
      </c>
    </row>
    <row r="11" spans="1:10" x14ac:dyDescent="0.3">
      <c r="A11" t="s">
        <v>67</v>
      </c>
      <c r="B11" s="24"/>
      <c r="C11" s="24"/>
      <c r="D11" s="24"/>
    </row>
    <row r="12" spans="1:10" x14ac:dyDescent="0.3">
      <c r="A12" s="1" t="s">
        <v>68</v>
      </c>
      <c r="B12" s="10">
        <v>40232</v>
      </c>
      <c r="C12" s="10">
        <v>34027</v>
      </c>
      <c r="D12" s="10">
        <v>25249</v>
      </c>
    </row>
    <row r="13" spans="1:10" x14ac:dyDescent="0.3">
      <c r="A13" s="1" t="s">
        <v>69</v>
      </c>
      <c r="B13" s="10">
        <v>35931</v>
      </c>
      <c r="C13" s="10">
        <v>28837</v>
      </c>
      <c r="D13" s="10">
        <v>22620</v>
      </c>
    </row>
    <row r="14" spans="1:10" x14ac:dyDescent="0.3">
      <c r="A14" s="1" t="s">
        <v>70</v>
      </c>
      <c r="B14" s="10">
        <v>18878</v>
      </c>
      <c r="C14" s="10">
        <v>13814</v>
      </c>
      <c r="D14" s="10">
        <v>10069</v>
      </c>
    </row>
    <row r="15" spans="1:10" x14ac:dyDescent="0.3">
      <c r="A15" s="1" t="s">
        <v>71</v>
      </c>
      <c r="B15" s="10">
        <v>5203</v>
      </c>
      <c r="C15" s="10">
        <v>4336</v>
      </c>
      <c r="D15" s="10">
        <v>3674</v>
      </c>
    </row>
    <row r="16" spans="1:10" x14ac:dyDescent="0.3">
      <c r="A16" s="1" t="s">
        <v>72</v>
      </c>
      <c r="B16" s="10">
        <v>201</v>
      </c>
      <c r="C16" s="10">
        <v>296</v>
      </c>
      <c r="D16" s="10">
        <v>214</v>
      </c>
    </row>
    <row r="17" spans="1:5" x14ac:dyDescent="0.3">
      <c r="A17" s="11" t="s">
        <v>73</v>
      </c>
      <c r="B17" s="12">
        <f>SUM(B12:B16)</f>
        <v>100445</v>
      </c>
      <c r="C17" s="12">
        <f>SUM(C12:C16)</f>
        <v>81310</v>
      </c>
      <c r="D17" s="12">
        <f>SUM(D12:D16)</f>
        <v>61826</v>
      </c>
    </row>
    <row r="18" spans="1:5" s="9" customFormat="1" x14ac:dyDescent="0.3">
      <c r="A18" s="11" t="s">
        <v>74</v>
      </c>
      <c r="B18" s="12">
        <f t="shared" ref="B18:C18" si="1">B10-B17</f>
        <v>14541</v>
      </c>
      <c r="C18" s="12">
        <f t="shared" si="1"/>
        <v>12421</v>
      </c>
      <c r="D18" s="12">
        <f>D10-D17</f>
        <v>4106</v>
      </c>
    </row>
    <row r="19" spans="1:5" x14ac:dyDescent="0.3">
      <c r="A19" t="s">
        <v>76</v>
      </c>
      <c r="B19" s="26">
        <v>832</v>
      </c>
      <c r="C19" s="26">
        <v>440</v>
      </c>
      <c r="D19" s="26">
        <v>202</v>
      </c>
    </row>
    <row r="20" spans="1:5" x14ac:dyDescent="0.3">
      <c r="A20" t="s">
        <v>77</v>
      </c>
      <c r="B20" s="26">
        <v>-1600</v>
      </c>
      <c r="C20" s="26">
        <v>-1417</v>
      </c>
      <c r="D20" s="26">
        <v>-848</v>
      </c>
    </row>
    <row r="21" spans="1:5" x14ac:dyDescent="0.3">
      <c r="A21" t="s">
        <v>78</v>
      </c>
      <c r="B21" s="27">
        <v>203</v>
      </c>
      <c r="C21" s="27">
        <v>-183</v>
      </c>
      <c r="D21" s="27">
        <v>346</v>
      </c>
    </row>
    <row r="22" spans="1:5" x14ac:dyDescent="0.3">
      <c r="A22" s="11" t="s">
        <v>79</v>
      </c>
      <c r="B22" s="12">
        <f t="shared" ref="B22:C22" si="2">B18+B19+B20+B21</f>
        <v>13976</v>
      </c>
      <c r="C22" s="12">
        <f t="shared" si="2"/>
        <v>11261</v>
      </c>
      <c r="D22" s="12">
        <f>D18+D19+D20+D21</f>
        <v>3806</v>
      </c>
    </row>
    <row r="23" spans="1:5" x14ac:dyDescent="0.3">
      <c r="A23" t="s">
        <v>80</v>
      </c>
      <c r="B23" s="26">
        <v>-2374</v>
      </c>
      <c r="C23" s="26">
        <v>-1197</v>
      </c>
      <c r="D23" s="26">
        <v>-769</v>
      </c>
    </row>
    <row r="24" spans="1:5" x14ac:dyDescent="0.3">
      <c r="A24" t="s">
        <v>81</v>
      </c>
      <c r="B24" s="26">
        <v>-14</v>
      </c>
      <c r="C24" s="26">
        <v>9</v>
      </c>
      <c r="D24" s="26">
        <v>-4</v>
      </c>
    </row>
    <row r="25" spans="1:5" ht="15" thickBot="1" x14ac:dyDescent="0.35">
      <c r="A25" s="13" t="s">
        <v>75</v>
      </c>
      <c r="B25" s="14">
        <f t="shared" ref="B25:C25" si="3">SUM(B22:B24)</f>
        <v>11588</v>
      </c>
      <c r="C25" s="14">
        <f t="shared" si="3"/>
        <v>10073</v>
      </c>
      <c r="D25" s="14">
        <f>SUM(D22:D24)</f>
        <v>3033</v>
      </c>
    </row>
    <row r="26" spans="1:5" ht="15" thickTop="1" x14ac:dyDescent="0.3">
      <c r="A26" t="s">
        <v>82</v>
      </c>
    </row>
    <row r="27" spans="1:5" x14ac:dyDescent="0.3">
      <c r="A27" s="1" t="s">
        <v>83</v>
      </c>
      <c r="B27" s="15">
        <v>23.46</v>
      </c>
      <c r="C27" s="15">
        <v>20.68</v>
      </c>
      <c r="D27" s="15">
        <v>6.32</v>
      </c>
    </row>
    <row r="28" spans="1:5" x14ac:dyDescent="0.3">
      <c r="A28" s="1" t="s">
        <v>84</v>
      </c>
      <c r="B28" s="15">
        <v>23.01</v>
      </c>
      <c r="C28" s="15">
        <v>20.14</v>
      </c>
      <c r="D28" s="15">
        <v>6.15</v>
      </c>
    </row>
    <row r="29" spans="1:5" x14ac:dyDescent="0.3">
      <c r="A29" t="s">
        <v>85</v>
      </c>
    </row>
    <row r="30" spans="1:5" x14ac:dyDescent="0.3">
      <c r="A30" s="1" t="s">
        <v>83</v>
      </c>
      <c r="B30" s="16">
        <v>494000</v>
      </c>
      <c r="C30" s="16">
        <v>487000</v>
      </c>
      <c r="D30" s="16">
        <v>480000</v>
      </c>
      <c r="E30" s="32"/>
    </row>
    <row r="31" spans="1:5" x14ac:dyDescent="0.3">
      <c r="A31" s="1" t="s">
        <v>84</v>
      </c>
      <c r="B31" s="16">
        <v>504000</v>
      </c>
      <c r="C31" s="16">
        <v>500000</v>
      </c>
      <c r="D31" s="16">
        <v>493000</v>
      </c>
      <c r="E31" s="32"/>
    </row>
    <row r="34" spans="1:4" x14ac:dyDescent="0.3">
      <c r="A34" s="48" t="s">
        <v>12</v>
      </c>
      <c r="B34" s="48"/>
      <c r="C34" s="48"/>
      <c r="D34" s="48"/>
    </row>
    <row r="35" spans="1:4" x14ac:dyDescent="0.3">
      <c r="B35" s="47" t="s">
        <v>57</v>
      </c>
      <c r="C35" s="47"/>
      <c r="D35" s="47"/>
    </row>
    <row r="36" spans="1:4" x14ac:dyDescent="0.3">
      <c r="B36" s="9">
        <v>2019</v>
      </c>
      <c r="C36" s="9">
        <v>2018</v>
      </c>
      <c r="D36" s="9">
        <v>2017</v>
      </c>
    </row>
    <row r="38" spans="1:4" x14ac:dyDescent="0.3">
      <c r="A38" t="s">
        <v>86</v>
      </c>
    </row>
    <row r="39" spans="1:4" x14ac:dyDescent="0.3">
      <c r="A39" s="1" t="s">
        <v>87</v>
      </c>
      <c r="B39" s="10">
        <v>36092</v>
      </c>
      <c r="C39" s="10">
        <v>31750</v>
      </c>
      <c r="D39" s="10">
        <v>20522</v>
      </c>
    </row>
    <row r="40" spans="1:4" x14ac:dyDescent="0.3">
      <c r="A40" s="1" t="s">
        <v>88</v>
      </c>
      <c r="B40" s="10">
        <v>18929</v>
      </c>
      <c r="C40" s="10">
        <v>9500</v>
      </c>
      <c r="D40" s="10">
        <v>10464</v>
      </c>
    </row>
    <row r="41" spans="1:4" x14ac:dyDescent="0.3">
      <c r="A41" s="1" t="s">
        <v>89</v>
      </c>
      <c r="B41" s="10">
        <v>20497</v>
      </c>
      <c r="C41" s="10">
        <v>17174</v>
      </c>
      <c r="D41" s="10">
        <v>16047</v>
      </c>
    </row>
    <row r="42" spans="1:4" x14ac:dyDescent="0.3">
      <c r="A42" s="1" t="s">
        <v>90</v>
      </c>
      <c r="B42" s="10">
        <v>20816</v>
      </c>
      <c r="C42" s="10">
        <v>16677</v>
      </c>
      <c r="D42" s="10">
        <v>13164</v>
      </c>
    </row>
    <row r="43" spans="1:4" x14ac:dyDescent="0.3">
      <c r="A43" s="11" t="s">
        <v>91</v>
      </c>
      <c r="B43" s="12">
        <f>SUM(B39:B42)</f>
        <v>96334</v>
      </c>
      <c r="C43" s="12">
        <f>SUM(C39:C42)</f>
        <v>75101</v>
      </c>
      <c r="D43" s="12">
        <f>SUM(D39:D42)</f>
        <v>60197</v>
      </c>
    </row>
    <row r="44" spans="1:4" x14ac:dyDescent="0.3">
      <c r="A44" t="s">
        <v>92</v>
      </c>
      <c r="B44" s="10"/>
      <c r="C44" s="10"/>
      <c r="D44" s="10"/>
    </row>
    <row r="45" spans="1:4" x14ac:dyDescent="0.3">
      <c r="A45" s="1" t="s">
        <v>93</v>
      </c>
      <c r="B45" s="10">
        <v>72705</v>
      </c>
      <c r="C45" s="10">
        <v>61797</v>
      </c>
      <c r="D45" s="10">
        <v>48866</v>
      </c>
    </row>
    <row r="46" spans="1:4" x14ac:dyDescent="0.3">
      <c r="A46" s="1" t="s">
        <v>94</v>
      </c>
      <c r="B46" s="10">
        <v>25141</v>
      </c>
      <c r="C46" s="10">
        <v>0</v>
      </c>
      <c r="D46" s="10">
        <v>0</v>
      </c>
    </row>
    <row r="47" spans="1:4" x14ac:dyDescent="0.3">
      <c r="A47" s="1" t="s">
        <v>95</v>
      </c>
      <c r="B47" s="10">
        <v>14754</v>
      </c>
      <c r="C47" s="10">
        <v>14548</v>
      </c>
      <c r="D47" s="10">
        <v>13350</v>
      </c>
    </row>
    <row r="48" spans="1:4" x14ac:dyDescent="0.3">
      <c r="A48" s="1" t="s">
        <v>96</v>
      </c>
      <c r="B48" s="10">
        <v>16314</v>
      </c>
      <c r="C48" s="10">
        <v>11202</v>
      </c>
      <c r="D48" s="10">
        <v>8897</v>
      </c>
    </row>
    <row r="49" spans="1:4" x14ac:dyDescent="0.3">
      <c r="A49" s="11" t="s">
        <v>97</v>
      </c>
      <c r="B49" s="12">
        <f t="shared" ref="B49:C49" si="4">SUM(B45:B48)</f>
        <v>128914</v>
      </c>
      <c r="C49" s="12">
        <f t="shared" si="4"/>
        <v>87547</v>
      </c>
      <c r="D49" s="12">
        <f>SUM(D45:D48)</f>
        <v>71113</v>
      </c>
    </row>
    <row r="50" spans="1:4" ht="15" thickBot="1" x14ac:dyDescent="0.35">
      <c r="A50" s="13" t="s">
        <v>98</v>
      </c>
      <c r="B50" s="14">
        <f t="shared" ref="B50:C50" si="5">SUM(B43+B49)</f>
        <v>225248</v>
      </c>
      <c r="C50" s="14">
        <f t="shared" si="5"/>
        <v>162648</v>
      </c>
      <c r="D50" s="14">
        <f>SUM(D43+D49)</f>
        <v>131310</v>
      </c>
    </row>
    <row r="51" spans="1:4" ht="15" thickTop="1" x14ac:dyDescent="0.3"/>
    <row r="52" spans="1:4" x14ac:dyDescent="0.3">
      <c r="A52" t="s">
        <v>99</v>
      </c>
    </row>
    <row r="53" spans="1:4" x14ac:dyDescent="0.3">
      <c r="A53" s="1" t="s">
        <v>100</v>
      </c>
      <c r="B53" s="10">
        <v>47183</v>
      </c>
      <c r="C53" s="10">
        <v>38192</v>
      </c>
      <c r="D53" s="10">
        <v>34616</v>
      </c>
    </row>
    <row r="54" spans="1:4" x14ac:dyDescent="0.3">
      <c r="A54" s="1" t="s">
        <v>101</v>
      </c>
      <c r="B54" s="10">
        <v>32439</v>
      </c>
      <c r="C54" s="10">
        <v>23663</v>
      </c>
      <c r="D54" s="10">
        <v>18170</v>
      </c>
    </row>
    <row r="55" spans="1:4" x14ac:dyDescent="0.3">
      <c r="A55" s="1" t="s">
        <v>102</v>
      </c>
      <c r="B55" s="10">
        <v>8190</v>
      </c>
      <c r="C55" s="10">
        <v>6536</v>
      </c>
      <c r="D55">
        <v>5097</v>
      </c>
    </row>
    <row r="56" spans="1:4" x14ac:dyDescent="0.3">
      <c r="A56" s="11" t="s">
        <v>103</v>
      </c>
      <c r="B56" s="12">
        <f>SUM(B53:B55)</f>
        <v>87812</v>
      </c>
      <c r="C56" s="12">
        <f>SUM(C53:C55)</f>
        <v>68391</v>
      </c>
      <c r="D56" s="12">
        <f>SUM(D53:D55)</f>
        <v>57883</v>
      </c>
    </row>
    <row r="57" spans="1:4" x14ac:dyDescent="0.3">
      <c r="A57" t="s">
        <v>104</v>
      </c>
      <c r="B57" s="10"/>
      <c r="C57" s="10"/>
      <c r="D57" s="10"/>
    </row>
    <row r="58" spans="1:4" x14ac:dyDescent="0.3">
      <c r="A58" s="1" t="s">
        <v>105</v>
      </c>
      <c r="B58" s="10">
        <v>39791</v>
      </c>
      <c r="C58" s="10">
        <v>9650</v>
      </c>
      <c r="D58" s="10">
        <v>0</v>
      </c>
    </row>
    <row r="59" spans="1:4" x14ac:dyDescent="0.3">
      <c r="A59" s="1" t="s">
        <v>106</v>
      </c>
      <c r="B59" s="10">
        <v>23414</v>
      </c>
      <c r="C59" s="10">
        <v>23495</v>
      </c>
      <c r="D59" s="10">
        <v>24743</v>
      </c>
    </row>
    <row r="60" spans="1:4" x14ac:dyDescent="0.3">
      <c r="A60" s="1" t="s">
        <v>107</v>
      </c>
      <c r="B60" s="10">
        <v>12171</v>
      </c>
      <c r="C60" s="10">
        <v>17563</v>
      </c>
      <c r="D60" s="10">
        <v>20975</v>
      </c>
    </row>
    <row r="61" spans="1:4" x14ac:dyDescent="0.3">
      <c r="A61" s="28" t="s">
        <v>108</v>
      </c>
      <c r="B61" s="25">
        <f t="shared" ref="B61:C61" si="6">SUM(B58:B60)</f>
        <v>75376</v>
      </c>
      <c r="C61" s="25">
        <f t="shared" si="6"/>
        <v>50708</v>
      </c>
      <c r="D61" s="25">
        <f>SUM(D58:D60)</f>
        <v>45718</v>
      </c>
    </row>
    <row r="62" spans="1:4" x14ac:dyDescent="0.3">
      <c r="A62" s="11" t="s">
        <v>109</v>
      </c>
      <c r="B62" s="12">
        <f t="shared" ref="B62:C62" si="7">B56+B61</f>
        <v>163188</v>
      </c>
      <c r="C62" s="12">
        <f t="shared" si="7"/>
        <v>119099</v>
      </c>
      <c r="D62" s="12">
        <f>D56+D61</f>
        <v>103601</v>
      </c>
    </row>
    <row r="63" spans="1:4" x14ac:dyDescent="0.3">
      <c r="B63" s="10"/>
      <c r="C63" s="10"/>
      <c r="D63" s="10"/>
    </row>
    <row r="64" spans="1:4" x14ac:dyDescent="0.3">
      <c r="A64" t="s">
        <v>110</v>
      </c>
      <c r="B64" s="10"/>
      <c r="C64" s="10"/>
      <c r="D64" s="10"/>
    </row>
    <row r="65" spans="1:4" x14ac:dyDescent="0.3">
      <c r="A65" s="1" t="s">
        <v>111</v>
      </c>
      <c r="B65" s="10">
        <v>5</v>
      </c>
      <c r="C65" s="10">
        <v>5</v>
      </c>
      <c r="D65" s="10">
        <v>5</v>
      </c>
    </row>
    <row r="66" spans="1:4" x14ac:dyDescent="0.3">
      <c r="A66" s="1" t="s">
        <v>112</v>
      </c>
      <c r="B66" s="10">
        <v>-1837</v>
      </c>
      <c r="C66" s="10">
        <v>-1837</v>
      </c>
      <c r="D66" s="10">
        <v>-1837</v>
      </c>
    </row>
    <row r="67" spans="1:4" x14ac:dyDescent="0.3">
      <c r="A67" s="1" t="s">
        <v>113</v>
      </c>
      <c r="B67" s="10">
        <v>33658</v>
      </c>
      <c r="C67" s="10">
        <v>26791</v>
      </c>
      <c r="D67" s="10">
        <v>21389</v>
      </c>
    </row>
    <row r="68" spans="1:4" x14ac:dyDescent="0.3">
      <c r="A68" s="1" t="s">
        <v>114</v>
      </c>
      <c r="B68" s="10">
        <v>-986</v>
      </c>
      <c r="C68" s="10">
        <v>-1035</v>
      </c>
      <c r="D68" s="10">
        <v>-484</v>
      </c>
    </row>
    <row r="69" spans="1:4" x14ac:dyDescent="0.3">
      <c r="A69" s="1" t="s">
        <v>115</v>
      </c>
      <c r="B69" s="10">
        <v>31220</v>
      </c>
      <c r="C69" s="10">
        <v>19625</v>
      </c>
      <c r="D69" s="10">
        <v>8636</v>
      </c>
    </row>
    <row r="70" spans="1:4" x14ac:dyDescent="0.3">
      <c r="A70" s="29" t="s">
        <v>116</v>
      </c>
      <c r="B70" s="12">
        <f>SUM(B65:B69)</f>
        <v>62060</v>
      </c>
      <c r="C70" s="12">
        <f>SUM(C65:C69)</f>
        <v>43549</v>
      </c>
      <c r="D70" s="12">
        <f>SUM(D65:D69)</f>
        <v>27709</v>
      </c>
    </row>
    <row r="71" spans="1:4" ht="15" thickBot="1" x14ac:dyDescent="0.35">
      <c r="A71" s="30" t="s">
        <v>117</v>
      </c>
      <c r="B71" s="14">
        <f>B62+B70</f>
        <v>225248</v>
      </c>
      <c r="C71" s="14">
        <f>C62+C70</f>
        <v>162648</v>
      </c>
      <c r="D71" s="14">
        <f>D62+D70</f>
        <v>131310</v>
      </c>
    </row>
    <row r="72" spans="1:4" ht="15" thickTop="1" x14ac:dyDescent="0.3"/>
    <row r="73" spans="1:4" x14ac:dyDescent="0.3">
      <c r="A73" s="48" t="s">
        <v>13</v>
      </c>
      <c r="B73" s="48"/>
      <c r="C73" s="48"/>
      <c r="D73" s="48"/>
    </row>
    <row r="74" spans="1:4" x14ac:dyDescent="0.3">
      <c r="B74" s="47" t="s">
        <v>56</v>
      </c>
      <c r="C74" s="47"/>
      <c r="D74" s="47"/>
    </row>
    <row r="75" spans="1:4" x14ac:dyDescent="0.3">
      <c r="B75" s="9">
        <v>2019</v>
      </c>
      <c r="C75" s="9">
        <v>2018</v>
      </c>
      <c r="D75" s="9">
        <v>2017</v>
      </c>
    </row>
    <row r="77" spans="1:4" x14ac:dyDescent="0.3">
      <c r="A77" s="9" t="s">
        <v>118</v>
      </c>
      <c r="B77" s="25">
        <v>32173</v>
      </c>
      <c r="C77" s="25">
        <v>21856</v>
      </c>
      <c r="D77" s="25">
        <v>19934</v>
      </c>
    </row>
    <row r="78" spans="1:4" x14ac:dyDescent="0.3">
      <c r="A78" t="s">
        <v>119</v>
      </c>
      <c r="B78" s="10"/>
      <c r="C78" s="10"/>
      <c r="D78" s="10"/>
    </row>
    <row r="79" spans="1:4" x14ac:dyDescent="0.3">
      <c r="A79" s="18" t="s">
        <v>75</v>
      </c>
      <c r="B79" s="17">
        <v>11588</v>
      </c>
      <c r="C79" s="17">
        <v>10073</v>
      </c>
      <c r="D79" s="17">
        <v>3033</v>
      </c>
    </row>
    <row r="80" spans="1:4" x14ac:dyDescent="0.3">
      <c r="A80" s="1" t="s">
        <v>120</v>
      </c>
      <c r="B80" s="10"/>
      <c r="C80" s="10"/>
      <c r="D80" s="10"/>
    </row>
    <row r="81" spans="1:4" x14ac:dyDescent="0.3">
      <c r="A81" s="19" t="s">
        <v>121</v>
      </c>
      <c r="B81" s="10">
        <v>21789</v>
      </c>
      <c r="C81" s="10">
        <v>15341</v>
      </c>
      <c r="D81" s="10">
        <v>11478</v>
      </c>
    </row>
    <row r="82" spans="1:4" x14ac:dyDescent="0.3">
      <c r="A82" s="19" t="s">
        <v>143</v>
      </c>
      <c r="B82" s="10">
        <v>6864</v>
      </c>
      <c r="C82" s="10">
        <v>5418</v>
      </c>
      <c r="D82" s="10">
        <v>4215</v>
      </c>
    </row>
    <row r="83" spans="1:4" x14ac:dyDescent="0.3">
      <c r="A83" s="19" t="s">
        <v>72</v>
      </c>
      <c r="B83" s="10">
        <v>164</v>
      </c>
      <c r="C83" s="10">
        <v>274</v>
      </c>
      <c r="D83" s="10">
        <v>202</v>
      </c>
    </row>
    <row r="84" spans="1:4" x14ac:dyDescent="0.3">
      <c r="A84" s="19" t="s">
        <v>144</v>
      </c>
      <c r="B84" s="10">
        <v>-249</v>
      </c>
      <c r="C84" s="10">
        <v>219</v>
      </c>
      <c r="D84" s="10">
        <v>-292</v>
      </c>
    </row>
    <row r="85" spans="1:4" x14ac:dyDescent="0.3">
      <c r="A85" s="19" t="s">
        <v>145</v>
      </c>
      <c r="B85" s="10">
        <v>796</v>
      </c>
      <c r="C85" s="10">
        <v>441</v>
      </c>
      <c r="D85" s="10">
        <v>-29</v>
      </c>
    </row>
    <row r="86" spans="1:4" x14ac:dyDescent="0.3">
      <c r="A86" t="s">
        <v>122</v>
      </c>
      <c r="B86" s="10"/>
      <c r="C86" s="10"/>
      <c r="D86" s="10"/>
    </row>
    <row r="87" spans="1:4" x14ac:dyDescent="0.3">
      <c r="A87" s="1" t="s">
        <v>89</v>
      </c>
      <c r="B87" s="10">
        <v>-3278</v>
      </c>
      <c r="C87" s="10">
        <v>-1314</v>
      </c>
      <c r="D87" s="10">
        <v>-3583</v>
      </c>
    </row>
    <row r="88" spans="1:4" x14ac:dyDescent="0.3">
      <c r="A88" s="1" t="s">
        <v>125</v>
      </c>
      <c r="B88" s="10">
        <v>-7681</v>
      </c>
      <c r="C88" s="10">
        <v>-4615</v>
      </c>
      <c r="D88" s="10">
        <v>-4780</v>
      </c>
    </row>
    <row r="89" spans="1:4" x14ac:dyDescent="0.3">
      <c r="A89" s="1" t="s">
        <v>126</v>
      </c>
      <c r="B89" s="10">
        <v>8193</v>
      </c>
      <c r="C89" s="10">
        <v>3263</v>
      </c>
      <c r="D89" s="10">
        <v>7100</v>
      </c>
    </row>
    <row r="90" spans="1:4" x14ac:dyDescent="0.3">
      <c r="A90" s="1" t="s">
        <v>101</v>
      </c>
      <c r="B90" s="10">
        <v>-1383</v>
      </c>
      <c r="C90" s="10">
        <v>472</v>
      </c>
      <c r="D90" s="10">
        <v>283</v>
      </c>
    </row>
    <row r="91" spans="1:4" x14ac:dyDescent="0.3">
      <c r="A91" s="1" t="s">
        <v>127</v>
      </c>
      <c r="B91" s="10">
        <v>1711</v>
      </c>
      <c r="C91" s="10">
        <v>1151</v>
      </c>
      <c r="D91" s="10">
        <v>738</v>
      </c>
    </row>
    <row r="92" spans="1:4" x14ac:dyDescent="0.3">
      <c r="A92" s="11" t="s">
        <v>123</v>
      </c>
      <c r="B92" s="12">
        <f>SUM(B79:B91)</f>
        <v>38514</v>
      </c>
      <c r="C92" s="12">
        <f>SUM(C79:C91)</f>
        <v>30723</v>
      </c>
      <c r="D92" s="12">
        <f>SUM(D79:D91)</f>
        <v>18365</v>
      </c>
    </row>
    <row r="93" spans="1:4" x14ac:dyDescent="0.3">
      <c r="A93" s="9" t="s">
        <v>124</v>
      </c>
    </row>
    <row r="94" spans="1:4" x14ac:dyDescent="0.3">
      <c r="A94" s="1" t="s">
        <v>129</v>
      </c>
      <c r="B94" s="10">
        <f>-16861</f>
        <v>-16861</v>
      </c>
      <c r="C94" s="10">
        <v>-13427</v>
      </c>
      <c r="D94" s="10">
        <v>-11955</v>
      </c>
    </row>
    <row r="95" spans="1:4" x14ac:dyDescent="0.3">
      <c r="A95" s="1" t="s">
        <v>130</v>
      </c>
      <c r="B95" s="10">
        <v>4172</v>
      </c>
      <c r="C95" s="10">
        <v>2104</v>
      </c>
      <c r="D95" s="10">
        <v>1897</v>
      </c>
    </row>
    <row r="96" spans="1:4" x14ac:dyDescent="0.3">
      <c r="A96" s="1" t="s">
        <v>131</v>
      </c>
      <c r="B96" s="10">
        <v>-2461</v>
      </c>
      <c r="C96" s="10">
        <v>-2186</v>
      </c>
      <c r="D96" s="10">
        <v>-13972</v>
      </c>
    </row>
    <row r="97" spans="1:4" x14ac:dyDescent="0.3">
      <c r="A97" s="1" t="s">
        <v>132</v>
      </c>
      <c r="B97" s="10">
        <f>22681</f>
        <v>22681</v>
      </c>
      <c r="C97" s="10">
        <v>8240</v>
      </c>
      <c r="D97" s="10">
        <v>9677</v>
      </c>
    </row>
    <row r="98" spans="1:4" x14ac:dyDescent="0.3">
      <c r="A98" s="1" t="s">
        <v>133</v>
      </c>
      <c r="B98" s="10">
        <f>-31812</f>
        <v>-31812</v>
      </c>
      <c r="C98" s="10">
        <v>-7100</v>
      </c>
      <c r="D98" s="10">
        <v>-12731</v>
      </c>
    </row>
    <row r="99" spans="1:4" x14ac:dyDescent="0.3">
      <c r="A99" s="11" t="s">
        <v>128</v>
      </c>
      <c r="B99" s="12">
        <f t="shared" ref="B99:C99" si="8">SUM(B94:B98)</f>
        <v>-24281</v>
      </c>
      <c r="C99" s="12">
        <f t="shared" si="8"/>
        <v>-12369</v>
      </c>
      <c r="D99" s="12">
        <f>SUM(D94:D98)</f>
        <v>-27084</v>
      </c>
    </row>
    <row r="100" spans="1:4" x14ac:dyDescent="0.3">
      <c r="A100" s="9" t="s">
        <v>134</v>
      </c>
      <c r="B100" s="10"/>
      <c r="C100" s="10"/>
      <c r="D100" s="10"/>
    </row>
    <row r="101" spans="1:4" x14ac:dyDescent="0.3">
      <c r="A101" s="1" t="s">
        <v>135</v>
      </c>
      <c r="B101" s="10">
        <v>2273</v>
      </c>
      <c r="C101" s="10">
        <v>768</v>
      </c>
      <c r="D101" s="10">
        <v>16228</v>
      </c>
    </row>
    <row r="102" spans="1:4" x14ac:dyDescent="0.3">
      <c r="A102" s="1" t="s">
        <v>136</v>
      </c>
      <c r="B102" s="10">
        <v>-2684</v>
      </c>
      <c r="C102" s="10">
        <v>-668</v>
      </c>
      <c r="D102" s="10">
        <v>-1301</v>
      </c>
    </row>
    <row r="103" spans="1:4" x14ac:dyDescent="0.3">
      <c r="A103" s="1" t="s">
        <v>137</v>
      </c>
      <c r="B103" s="10">
        <v>-9628</v>
      </c>
      <c r="C103" s="10">
        <v>-7449</v>
      </c>
      <c r="D103" s="10">
        <v>-4799</v>
      </c>
    </row>
    <row r="104" spans="1:4" x14ac:dyDescent="0.3">
      <c r="A104" s="1" t="s">
        <v>138</v>
      </c>
      <c r="B104" s="10">
        <v>-27</v>
      </c>
      <c r="C104" s="10">
        <v>-337</v>
      </c>
      <c r="D104" s="10">
        <v>-200</v>
      </c>
    </row>
    <row r="105" spans="1:4" x14ac:dyDescent="0.3">
      <c r="A105" s="11" t="s">
        <v>139</v>
      </c>
      <c r="B105" s="12">
        <f>SUM(B101:B104)</f>
        <v>-10066</v>
      </c>
      <c r="C105" s="12">
        <f t="shared" ref="C105:D105" si="9">SUM(C101:C104)</f>
        <v>-7686</v>
      </c>
      <c r="D105" s="12">
        <f t="shared" si="9"/>
        <v>9928</v>
      </c>
    </row>
    <row r="106" spans="1:4" x14ac:dyDescent="0.3">
      <c r="A106" s="11" t="s">
        <v>140</v>
      </c>
      <c r="B106" s="12">
        <v>70</v>
      </c>
      <c r="C106" s="12">
        <v>-351</v>
      </c>
      <c r="D106" s="12">
        <v>713</v>
      </c>
    </row>
    <row r="107" spans="1:4" x14ac:dyDescent="0.3">
      <c r="A107" s="11" t="s">
        <v>141</v>
      </c>
      <c r="B107" s="12">
        <f t="shared" ref="B107:C107" si="10">B92+B99+B105+B106</f>
        <v>4237</v>
      </c>
      <c r="C107" s="12">
        <f t="shared" si="10"/>
        <v>10317</v>
      </c>
      <c r="D107" s="12">
        <f>D92+D99+D105+D106</f>
        <v>1922</v>
      </c>
    </row>
    <row r="108" spans="1:4" ht="15" thickBot="1" x14ac:dyDescent="0.35">
      <c r="A108" s="13" t="s">
        <v>142</v>
      </c>
      <c r="B108" s="14">
        <f t="shared" ref="B108:C108" si="11">B77+B107</f>
        <v>36410</v>
      </c>
      <c r="C108" s="14">
        <f t="shared" si="11"/>
        <v>32173</v>
      </c>
      <c r="D108" s="14">
        <f>D77+D107</f>
        <v>21856</v>
      </c>
    </row>
    <row r="109" spans="1:4" ht="15" thickTop="1" x14ac:dyDescent="0.3">
      <c r="B109" s="10"/>
      <c r="C109" s="10"/>
      <c r="D109" s="10"/>
    </row>
    <row r="110" spans="1:4" x14ac:dyDescent="0.3">
      <c r="A110" t="s">
        <v>146</v>
      </c>
      <c r="B110" s="10"/>
      <c r="C110" s="10"/>
      <c r="D110" s="10"/>
    </row>
    <row r="111" spans="1:4" x14ac:dyDescent="0.3">
      <c r="A111" t="s">
        <v>147</v>
      </c>
      <c r="B111" s="31">
        <v>875</v>
      </c>
      <c r="C111" s="31">
        <v>854</v>
      </c>
      <c r="D111" s="31">
        <v>328</v>
      </c>
    </row>
    <row r="112" spans="1:4" x14ac:dyDescent="0.3">
      <c r="A112" t="s">
        <v>148</v>
      </c>
      <c r="B112" s="31">
        <v>3361</v>
      </c>
      <c r="C112" s="31">
        <v>0</v>
      </c>
      <c r="D112" s="31">
        <v>0</v>
      </c>
    </row>
    <row r="113" spans="1:4" x14ac:dyDescent="0.3">
      <c r="A113" t="s">
        <v>149</v>
      </c>
      <c r="B113" s="31">
        <v>647</v>
      </c>
      <c r="C113" s="31">
        <v>381</v>
      </c>
      <c r="D113" s="31">
        <v>200</v>
      </c>
    </row>
    <row r="114" spans="1:4" x14ac:dyDescent="0.3">
      <c r="A114" t="s">
        <v>150</v>
      </c>
      <c r="B114" s="31">
        <v>39</v>
      </c>
      <c r="C114" s="31">
        <v>194</v>
      </c>
      <c r="D114" s="31">
        <v>119</v>
      </c>
    </row>
    <row r="115" spans="1:4" x14ac:dyDescent="0.3">
      <c r="A115" t="s">
        <v>151</v>
      </c>
      <c r="B115" s="31">
        <v>881</v>
      </c>
      <c r="C115" s="31">
        <v>1184</v>
      </c>
      <c r="D115" s="31">
        <v>957</v>
      </c>
    </row>
    <row r="116" spans="1:4" x14ac:dyDescent="0.3">
      <c r="A116" t="s">
        <v>152</v>
      </c>
      <c r="B116" s="31">
        <v>7870</v>
      </c>
      <c r="C116" s="31">
        <v>0</v>
      </c>
      <c r="D116" s="31">
        <v>0</v>
      </c>
    </row>
    <row r="117" spans="1:4" x14ac:dyDescent="0.3">
      <c r="A117" t="s">
        <v>153</v>
      </c>
      <c r="B117" s="31">
        <v>13723</v>
      </c>
      <c r="C117" s="31">
        <v>10615</v>
      </c>
      <c r="D117" s="31">
        <v>9637</v>
      </c>
    </row>
    <row r="118" spans="1:4" x14ac:dyDescent="0.3">
      <c r="A118" t="s">
        <v>154</v>
      </c>
      <c r="B118" s="31">
        <v>1362</v>
      </c>
      <c r="C118" s="31">
        <v>3641</v>
      </c>
      <c r="D118" s="31">
        <v>3541</v>
      </c>
    </row>
  </sheetData>
  <mergeCells count="6">
    <mergeCell ref="B74:D74"/>
    <mergeCell ref="A2:D2"/>
    <mergeCell ref="B3:D3"/>
    <mergeCell ref="A34:D34"/>
    <mergeCell ref="B35:D35"/>
    <mergeCell ref="A73:D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tabSelected="1" topLeftCell="B1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2.44140625" customWidth="1"/>
    <col min="4" max="4" width="10.6640625" bestFit="1" customWidth="1"/>
    <col min="5" max="5" width="13.6640625" bestFit="1" customWidth="1"/>
    <col min="6" max="6" width="40.88671875" customWidth="1"/>
    <col min="7" max="7" width="26.109375" customWidth="1"/>
    <col min="10" max="10" width="28.33203125" bestFit="1" customWidth="1"/>
    <col min="11" max="11" width="9.109375" bestFit="1" customWidth="1"/>
    <col min="12" max="12" width="8" bestFit="1" customWidth="1"/>
    <col min="13" max="13" width="7" bestFit="1" customWidth="1"/>
  </cols>
  <sheetData>
    <row r="1" spans="1:13" ht="60" customHeight="1" x14ac:dyDescent="0.5">
      <c r="A1" s="7"/>
      <c r="B1" s="20" t="s">
        <v>61</v>
      </c>
      <c r="C1" s="21"/>
      <c r="D1" s="21"/>
      <c r="E1" s="21"/>
      <c r="F1" s="43" t="s">
        <v>184</v>
      </c>
      <c r="G1" s="43" t="s">
        <v>184</v>
      </c>
      <c r="H1" s="21"/>
      <c r="I1" s="21"/>
      <c r="J1" s="21"/>
      <c r="K1" s="21"/>
    </row>
    <row r="2" spans="1:13" x14ac:dyDescent="0.3">
      <c r="C2" s="47" t="s">
        <v>155</v>
      </c>
      <c r="D2" s="47"/>
      <c r="E2" s="47"/>
      <c r="F2" s="33"/>
    </row>
    <row r="3" spans="1:13" x14ac:dyDescent="0.3">
      <c r="C3" s="33">
        <v>2019</v>
      </c>
      <c r="D3" s="33">
        <v>2018</v>
      </c>
      <c r="E3" s="33">
        <v>2017</v>
      </c>
      <c r="F3" s="33"/>
      <c r="J3" s="49" t="s">
        <v>156</v>
      </c>
      <c r="K3" s="49"/>
      <c r="L3" s="49"/>
      <c r="M3" s="49"/>
    </row>
    <row r="4" spans="1:13" x14ac:dyDescent="0.3">
      <c r="A4" s="22">
        <v>1</v>
      </c>
      <c r="B4" s="9" t="s">
        <v>14</v>
      </c>
      <c r="K4" s="33">
        <v>2019</v>
      </c>
      <c r="L4" s="33">
        <v>2018</v>
      </c>
      <c r="M4" s="33">
        <v>2017</v>
      </c>
    </row>
    <row r="5" spans="1:13" x14ac:dyDescent="0.3">
      <c r="A5" s="22">
        <f>+A4+0.1</f>
        <v>1.1000000000000001</v>
      </c>
      <c r="B5" s="1" t="s">
        <v>15</v>
      </c>
      <c r="C5" s="34">
        <f>'Financial Statements'!B43/'Financial Statements'!B56</f>
        <v>1.0970482394205803</v>
      </c>
      <c r="D5" s="34">
        <f>'Financial Statements'!C43/'Financial Statements'!C56</f>
        <v>1.0981123247210891</v>
      </c>
      <c r="E5" s="34">
        <f>'Financial Statements'!D43/'Financial Statements'!D56</f>
        <v>1.039977195376881</v>
      </c>
      <c r="F5" s="34"/>
      <c r="J5" s="35" t="s">
        <v>157</v>
      </c>
      <c r="K5" s="40">
        <f>('Financial Statements'!B6-'Financial Statements'!C6)/'Financial Statements'!C6</f>
        <v>0.13031039706866787</v>
      </c>
      <c r="L5" s="40">
        <f>('Financial Statements'!C6-'Financial Statements'!D6)/'Financial Statements'!D6</f>
        <v>0.19685763200728665</v>
      </c>
      <c r="M5" s="35" t="s">
        <v>158</v>
      </c>
    </row>
    <row r="6" spans="1:13" x14ac:dyDescent="0.3">
      <c r="A6" s="22">
        <f t="shared" ref="A6:A13" si="0">+A5+0.1</f>
        <v>1.2000000000000002</v>
      </c>
      <c r="B6" s="1" t="s">
        <v>16</v>
      </c>
      <c r="C6" s="34">
        <f>('Financial Statements'!B43-'Financial Statements'!B41)/'Financial Statements'!B56</f>
        <v>0.86362911674941922</v>
      </c>
      <c r="D6" s="34">
        <f>('Financial Statements'!C43-'Financial Statements'!C41)/'Financial Statements'!C56</f>
        <v>0.84699741194016753</v>
      </c>
      <c r="E6" s="34">
        <f>('Financial Statements'!D43-'Financial Statements'!D41)/'Financial Statements'!D56</f>
        <v>0.76274553841369663</v>
      </c>
      <c r="F6" s="34"/>
      <c r="J6" s="35" t="s">
        <v>159</v>
      </c>
      <c r="K6" s="40">
        <f>('Financial Statements'!B7-'Financial Statements'!C7)/'Financial Statements'!C7</f>
        <v>0.32034032449544914</v>
      </c>
      <c r="L6" s="40">
        <f>('Financial Statements'!C7-'Financial Statements'!D7)/'Financial Statements'!D7</f>
        <v>0.53427891993995924</v>
      </c>
      <c r="M6" s="35" t="s">
        <v>158</v>
      </c>
    </row>
    <row r="7" spans="1:13" x14ac:dyDescent="0.3">
      <c r="A7" s="22">
        <f t="shared" si="0"/>
        <v>1.3000000000000003</v>
      </c>
      <c r="B7" s="1" t="s">
        <v>17</v>
      </c>
      <c r="C7" s="34">
        <f>'Financial Statements'!B39/'Financial Statements'!B56</f>
        <v>0.41101443993987152</v>
      </c>
      <c r="D7" s="34">
        <f>'Financial Statements'!C39/'Financial Statements'!C56</f>
        <v>0.46424237107221711</v>
      </c>
      <c r="E7" s="34">
        <f>'Financial Statements'!D39/'Financial Statements'!D56</f>
        <v>0.35454278458269267</v>
      </c>
      <c r="F7" s="34"/>
      <c r="J7" s="35" t="s">
        <v>160</v>
      </c>
      <c r="K7" s="40">
        <f>('Financial Statements'!B8-'Financial Statements'!C8)/'Financial Statements'!C8</f>
        <v>0.2045412582067698</v>
      </c>
      <c r="L7" s="40">
        <f>('Financial Statements'!C8-'Financial Statements'!D8)/'Financial Statements'!D8</f>
        <v>0.3093396152159491</v>
      </c>
      <c r="M7" s="35" t="s">
        <v>158</v>
      </c>
    </row>
    <row r="8" spans="1:13" x14ac:dyDescent="0.3">
      <c r="A8" s="22">
        <f t="shared" si="0"/>
        <v>1.4000000000000004</v>
      </c>
      <c r="B8" s="1" t="s">
        <v>18</v>
      </c>
      <c r="C8" s="34">
        <f>'Financial Statements'!B43/('Financial Statements'!B17-'Financial Statements'!B81)</f>
        <v>1.2247508136696501</v>
      </c>
      <c r="D8" s="34">
        <f>'Financial Statements'!C43/('Financial Statements'!C17-'Financial Statements'!C81)</f>
        <v>1.1384286558838241</v>
      </c>
      <c r="E8" s="34">
        <f>'Financial Statements'!D43/('Financial Statements'!D17-'Financial Statements'!D81)</f>
        <v>1.1956184952729005</v>
      </c>
      <c r="F8" t="s">
        <v>185</v>
      </c>
      <c r="G8" s="46" t="s">
        <v>178</v>
      </c>
      <c r="H8" s="46"/>
      <c r="I8" s="46"/>
      <c r="J8" s="41" t="s">
        <v>161</v>
      </c>
      <c r="K8" s="37">
        <f>('Financial Statements'!B10-'Financial Statements'!C10)/'Financial Statements'!C10</f>
        <v>0.22676595790080123</v>
      </c>
      <c r="L8" s="37">
        <f>('Financial Statements'!C10-'Financial Statements'!D10)/'Financial Statements'!D10</f>
        <v>0.42163137778317056</v>
      </c>
      <c r="M8" s="35" t="s">
        <v>158</v>
      </c>
    </row>
    <row r="9" spans="1:13" x14ac:dyDescent="0.3">
      <c r="A9" s="22">
        <f t="shared" si="0"/>
        <v>1.5000000000000004</v>
      </c>
      <c r="B9" s="1" t="s">
        <v>19</v>
      </c>
      <c r="C9" s="36">
        <f>('Financial Statements'!B41/'Financial Statements'!B9)*365</f>
        <v>45.195033104581483</v>
      </c>
      <c r="D9" s="36">
        <f>('Financial Statements'!C41/'Financial Statements'!C9)*365</f>
        <v>45.046638305211417</v>
      </c>
      <c r="E9" s="36">
        <f>('Financial Statements'!D41/'Financial Statements'!D9)*365</f>
        <v>52.326862258116392</v>
      </c>
      <c r="F9" s="36"/>
      <c r="J9" s="41" t="s">
        <v>162</v>
      </c>
      <c r="K9" s="37">
        <f>('Financial Statements'!B18-'Financial Statements'!C18)/'Financial Statements'!C18</f>
        <v>0.17067868931648014</v>
      </c>
      <c r="L9" s="37">
        <f>('Financial Statements'!C18-'Financial Statements'!D18)/'Financial Statements'!D18</f>
        <v>2.02508524111057</v>
      </c>
      <c r="M9" s="35" t="s">
        <v>158</v>
      </c>
    </row>
    <row r="10" spans="1:13" x14ac:dyDescent="0.3">
      <c r="A10" s="22">
        <f t="shared" si="0"/>
        <v>1.6000000000000005</v>
      </c>
      <c r="B10" s="1" t="s">
        <v>20</v>
      </c>
      <c r="C10" s="36">
        <f>('Financial Statements'!B53/'Financial Statements'!B9)*365</f>
        <v>104.03655398221535</v>
      </c>
      <c r="D10" s="36">
        <f>('Financial Statements'!C53/'Financial Statements'!C9)*365</f>
        <v>100.1759176751272</v>
      </c>
      <c r="E10" s="36">
        <f>('Financial Statements'!D53/'Financial Statements'!D9)*365</f>
        <v>112.87758857898403</v>
      </c>
      <c r="F10" s="36"/>
      <c r="G10" s="44" t="s">
        <v>179</v>
      </c>
      <c r="J10" s="41" t="s">
        <v>163</v>
      </c>
      <c r="K10" s="37">
        <f>('Financial Statements'!B25-'Financial Statements'!C25)/'Financial Statements'!C25</f>
        <v>0.15040206492603991</v>
      </c>
      <c r="L10" s="37">
        <f>('Financial Statements'!C25-'Financial Statements'!D25)/'Financial Statements'!D25</f>
        <v>2.3211341905703922</v>
      </c>
      <c r="M10" s="35" t="s">
        <v>158</v>
      </c>
    </row>
    <row r="11" spans="1:13" x14ac:dyDescent="0.3">
      <c r="A11" s="22">
        <f t="shared" si="0"/>
        <v>1.7000000000000006</v>
      </c>
      <c r="B11" s="1" t="s">
        <v>21</v>
      </c>
      <c r="C11" s="36">
        <f>('Financial Statements'!B42/'Financial Statements'!B8)*365</f>
        <v>27.084649332316179</v>
      </c>
      <c r="D11" s="36">
        <f>('Financial Statements'!C42/'Financial Statements'!C8)*365</f>
        <v>26.137590333509387</v>
      </c>
      <c r="E11" s="36">
        <f>('Financial Statements'!D42/'Financial Statements'!D8)*365</f>
        <v>27.013931836326226</v>
      </c>
      <c r="F11" s="36"/>
      <c r="J11" s="41" t="s">
        <v>175</v>
      </c>
      <c r="K11" s="37">
        <f>('Financial Statements'!B17-'Financial Statements'!C17)/'Financial Statements'!C17</f>
        <v>0.23533390726847866</v>
      </c>
      <c r="L11" s="37">
        <f>('Financial Statements'!C17-'Financial Statements'!D17)/'Financial Statements'!D17</f>
        <v>0.31514249668424288</v>
      </c>
      <c r="M11" s="35" t="s">
        <v>158</v>
      </c>
    </row>
    <row r="12" spans="1:13" x14ac:dyDescent="0.3">
      <c r="A12" s="22">
        <f t="shared" si="0"/>
        <v>1.8000000000000007</v>
      </c>
      <c r="B12" s="1" t="s">
        <v>22</v>
      </c>
      <c r="C12" s="36">
        <f>C9+C11-C10</f>
        <v>-31.756871545317694</v>
      </c>
      <c r="D12" s="36">
        <f t="shared" ref="D12:E12" si="1">D9+D11-D10</f>
        <v>-28.991689036406385</v>
      </c>
      <c r="E12" s="36">
        <f t="shared" si="1"/>
        <v>-33.536794484541417</v>
      </c>
      <c r="F12" s="36"/>
      <c r="J12" s="41" t="s">
        <v>164</v>
      </c>
      <c r="K12" s="37">
        <f>('Financial Statements'!B50-'Financial Statements'!C50)/'Financial Statements'!C50</f>
        <v>0.3848802321577886</v>
      </c>
      <c r="L12" s="37">
        <f>('Financial Statements'!C50-'Financial Statements'!D50)/'Financial Statements'!D50</f>
        <v>0.23865661411925976</v>
      </c>
      <c r="M12" s="35" t="s">
        <v>158</v>
      </c>
    </row>
    <row r="13" spans="1:13" x14ac:dyDescent="0.3">
      <c r="A13" s="22">
        <f t="shared" si="0"/>
        <v>1.9000000000000008</v>
      </c>
      <c r="B13" s="1" t="s">
        <v>23</v>
      </c>
      <c r="C13" s="37">
        <f>C14/'Financial Statements'!B8</f>
        <v>3.0379079002716365E-2</v>
      </c>
      <c r="D13" s="37">
        <f>D14/'Financial Statements'!C8</f>
        <v>2.8812256587958968E-2</v>
      </c>
      <c r="E13" s="37">
        <f>E14/'Financial Statements'!D8</f>
        <v>1.3009793889782196E-2</v>
      </c>
      <c r="F13" s="37"/>
      <c r="J13" s="41" t="s">
        <v>165</v>
      </c>
      <c r="K13" s="40">
        <f>('Financial Statements'!B62-'Financial Statements'!C62)/'Financial Statements'!C62</f>
        <v>0.37018782693389535</v>
      </c>
      <c r="L13" s="40">
        <f>('Financial Statements'!C62-'Financial Statements'!D62)/'Financial Statements'!D62</f>
        <v>0.14959315064526404</v>
      </c>
      <c r="M13" s="35" t="s">
        <v>158</v>
      </c>
    </row>
    <row r="14" spans="1:13" x14ac:dyDescent="0.3">
      <c r="A14" s="22"/>
      <c r="B14" s="19" t="s">
        <v>24</v>
      </c>
      <c r="C14" s="35">
        <f>'Financial Statements'!B43-'Financial Statements'!B56</f>
        <v>8522</v>
      </c>
      <c r="D14" s="35">
        <f>'Financial Statements'!C43-'Financial Statements'!C56</f>
        <v>6710</v>
      </c>
      <c r="E14" s="35">
        <f>'Financial Statements'!D43-'Financial Statements'!D56</f>
        <v>2314</v>
      </c>
      <c r="F14" s="35"/>
      <c r="J14" s="41" t="s">
        <v>176</v>
      </c>
      <c r="K14" s="40">
        <f>('Financial Statements'!B70-'Financial Statements'!C70)/'Financial Statements'!C70</f>
        <v>0.42506142506142508</v>
      </c>
      <c r="L14" s="40">
        <f>('Financial Statements'!C70-'Financial Statements'!D70)/'Financial Statements'!D70</f>
        <v>0.57165541881699089</v>
      </c>
      <c r="M14" s="35" t="s">
        <v>158</v>
      </c>
    </row>
    <row r="15" spans="1:13" x14ac:dyDescent="0.3">
      <c r="A15" s="22"/>
      <c r="K15" s="40"/>
      <c r="L15" s="40"/>
      <c r="M15" s="35"/>
    </row>
    <row r="16" spans="1:13" x14ac:dyDescent="0.3">
      <c r="A16" s="22">
        <f>+A4+1</f>
        <v>2</v>
      </c>
      <c r="B16" s="23" t="s">
        <v>25</v>
      </c>
    </row>
    <row r="17" spans="1:13" x14ac:dyDescent="0.3">
      <c r="A17" s="22">
        <f>+A16+0.1</f>
        <v>2.1</v>
      </c>
      <c r="B17" s="1" t="s">
        <v>11</v>
      </c>
      <c r="C17" s="38">
        <f>'Financial Statements'!B10/'Financial Statements'!B8</f>
        <v>0.40990011478600608</v>
      </c>
      <c r="D17" s="38">
        <f>'Financial Statements'!C10/'Financial Statements'!C8</f>
        <v>0.40247416128852193</v>
      </c>
      <c r="E17" s="38">
        <f>'Financial Statements'!D10/'Financial Statements'!D8</f>
        <v>0.3706835482891615</v>
      </c>
      <c r="F17" s="38"/>
      <c r="J17" s="41" t="s">
        <v>166</v>
      </c>
      <c r="K17" s="40">
        <f>'Financial Statements'!B9/'Financial Statements'!B8</f>
        <v>0.59009988521399392</v>
      </c>
      <c r="L17" s="40">
        <f>'Financial Statements'!C9/'Financial Statements'!C8</f>
        <v>0.59752583871147813</v>
      </c>
      <c r="M17" s="40">
        <f>'Financial Statements'!D9/'Financial Statements'!D8</f>
        <v>0.6293164517108385</v>
      </c>
    </row>
    <row r="18" spans="1:13" x14ac:dyDescent="0.3">
      <c r="A18" s="22">
        <f>+A17+0.1</f>
        <v>2.2000000000000002</v>
      </c>
      <c r="B18" s="1" t="s">
        <v>26</v>
      </c>
      <c r="C18" s="38">
        <f>C19/'Financial Statements'!B8</f>
        <v>0.12950855904349748</v>
      </c>
      <c r="D18" s="38">
        <f>D19/'Financial Statements'!C8</f>
        <v>0.11920802792770743</v>
      </c>
      <c r="E18" s="38">
        <f>E19/'Financial Statements'!D8</f>
        <v>8.7616520301800227E-2</v>
      </c>
      <c r="F18" s="38"/>
      <c r="J18" s="41" t="s">
        <v>167</v>
      </c>
      <c r="K18" s="37">
        <f>'Financial Statements'!B10/'Financial Statements'!B8</f>
        <v>0.40990011478600608</v>
      </c>
      <c r="L18" s="37">
        <f>'Financial Statements'!C10/'Financial Statements'!C8</f>
        <v>0.40247416128852193</v>
      </c>
      <c r="M18" s="37">
        <f>'Financial Statements'!D10/'Financial Statements'!D8</f>
        <v>0.3706835482891615</v>
      </c>
    </row>
    <row r="19" spans="1:13" x14ac:dyDescent="0.3">
      <c r="A19" s="22"/>
      <c r="B19" s="19" t="s">
        <v>27</v>
      </c>
      <c r="C19" s="39">
        <f>'Financial Statements'!B18+'Financial Statements'!B81</f>
        <v>36330</v>
      </c>
      <c r="D19" s="39">
        <f>'Financial Statements'!C18+'Financial Statements'!C81</f>
        <v>27762</v>
      </c>
      <c r="E19" s="39">
        <f>'Financial Statements'!D18+'Financial Statements'!D81</f>
        <v>15584</v>
      </c>
      <c r="F19" s="39"/>
      <c r="J19" s="41" t="s">
        <v>177</v>
      </c>
      <c r="K19" s="40">
        <f>'Financial Statements'!B17/'Financial Statements'!B8</f>
        <v>0.35806460812342705</v>
      </c>
      <c r="L19" s="40">
        <f>'Financial Statements'!C17/'Financial Statements'!C8</f>
        <v>0.34913928214112422</v>
      </c>
      <c r="M19" s="40">
        <f>'Financial Statements'!D17/'Financial Statements'!D8</f>
        <v>0.34759875411826879</v>
      </c>
    </row>
    <row r="20" spans="1:13" x14ac:dyDescent="0.3">
      <c r="A20" s="22">
        <f>+A18+0.1</f>
        <v>2.3000000000000003</v>
      </c>
      <c r="B20" s="1" t="s">
        <v>28</v>
      </c>
      <c r="C20" s="38">
        <f>C21/'Financial Statements'!B8</f>
        <v>5.1835506662579051E-2</v>
      </c>
      <c r="D20" s="38">
        <f>D21/'Financial Statements'!C8</f>
        <v>5.3334879147397665E-2</v>
      </c>
      <c r="E20" s="38">
        <f>E21/'Financial Statements'!D8</f>
        <v>2.3084794170892695E-2</v>
      </c>
      <c r="F20" s="38"/>
      <c r="J20" s="41" t="s">
        <v>168</v>
      </c>
      <c r="K20" s="40">
        <f>'Financial Statements'!B18/'Financial Statements'!B8</f>
        <v>5.1835506662579051E-2</v>
      </c>
      <c r="L20" s="40">
        <f>'Financial Statements'!C18/'Financial Statements'!C8</f>
        <v>5.3334879147397665E-2</v>
      </c>
      <c r="M20" s="40">
        <f>'Financial Statements'!D18/'Financial Statements'!D8</f>
        <v>2.3084794170892695E-2</v>
      </c>
    </row>
    <row r="21" spans="1:13" x14ac:dyDescent="0.3">
      <c r="A21" s="22"/>
      <c r="B21" s="19" t="s">
        <v>29</v>
      </c>
      <c r="C21" s="39">
        <f>'Financial Statements'!B18</f>
        <v>14541</v>
      </c>
      <c r="D21" s="39">
        <f>'Financial Statements'!C18</f>
        <v>12421</v>
      </c>
      <c r="E21" s="39">
        <f>'Financial Statements'!D18</f>
        <v>4106</v>
      </c>
      <c r="F21" s="39"/>
      <c r="J21" s="41" t="s">
        <v>169</v>
      </c>
      <c r="K21" s="40">
        <f>'Financial Statements'!B25/'Financial Statements'!B8</f>
        <v>4.1308703060722513E-2</v>
      </c>
      <c r="L21" s="40">
        <f>'Financial Statements'!C25/'Financial Statements'!C8</f>
        <v>4.3252736305590261E-2</v>
      </c>
      <c r="M21" s="40">
        <f>'Financial Statements'!D25/'Financial Statements'!D8</f>
        <v>1.7052162864178651E-2</v>
      </c>
    </row>
    <row r="22" spans="1:13" x14ac:dyDescent="0.3">
      <c r="A22" s="22">
        <f>+A20+0.1</f>
        <v>2.4000000000000004</v>
      </c>
      <c r="B22" s="1" t="s">
        <v>30</v>
      </c>
      <c r="C22" s="38">
        <f>'Financial Statements'!B25/'Financial Statements'!B8</f>
        <v>4.1308703060722513E-2</v>
      </c>
      <c r="D22" s="38">
        <f>'Financial Statements'!C25/'Financial Statements'!C8</f>
        <v>4.3252736305590261E-2</v>
      </c>
      <c r="E22" s="38">
        <f>'Financial Statements'!D25/'Financial Statements'!D8</f>
        <v>1.7052162864178651E-2</v>
      </c>
      <c r="F22" s="38"/>
      <c r="K22" s="40"/>
      <c r="L22" s="40"/>
      <c r="M22" s="40"/>
    </row>
    <row r="23" spans="1:13" x14ac:dyDescent="0.3">
      <c r="A23" s="22"/>
    </row>
    <row r="24" spans="1:13" x14ac:dyDescent="0.3">
      <c r="A24" s="22">
        <f>+A16+1</f>
        <v>3</v>
      </c>
      <c r="B24" s="9" t="s">
        <v>31</v>
      </c>
      <c r="J24" s="35" t="s">
        <v>170</v>
      </c>
      <c r="K24" s="40">
        <f>'Financial Statements'!B115/'Financial Statements'!B22</f>
        <v>6.303663423010876E-2</v>
      </c>
      <c r="L24" s="40">
        <f>'Financial Statements'!C115/'Financial Statements'!C22</f>
        <v>0.10514163928603143</v>
      </c>
      <c r="M24" s="40">
        <f>'Financial Statements'!D115/'Financial Statements'!D22</f>
        <v>0.25144508670520233</v>
      </c>
    </row>
    <row r="25" spans="1:13" x14ac:dyDescent="0.3">
      <c r="A25" s="22">
        <f>+A24+0.1</f>
        <v>3.1</v>
      </c>
      <c r="B25" s="1" t="s">
        <v>32</v>
      </c>
      <c r="C25" s="34">
        <f>'Financial Statements'!B59/'Financial Statements'!B70</f>
        <v>0.37728005156300354</v>
      </c>
      <c r="D25" s="34">
        <f>'Financial Statements'!C59/'Financial Statements'!C70</f>
        <v>0.53950722175021237</v>
      </c>
      <c r="E25" s="34">
        <f>'Financial Statements'!D59/'Financial Statements'!D70</f>
        <v>0.89295896640080841</v>
      </c>
      <c r="F25" s="34"/>
      <c r="J25" s="35" t="s">
        <v>171</v>
      </c>
      <c r="K25" s="37">
        <f>K27/'Financial Statements'!B8</f>
        <v>1.4872273832355395E-2</v>
      </c>
      <c r="L25" s="37">
        <f>L27/'Financial Statements'!C8</f>
        <v>9.0344244204270743E-3</v>
      </c>
      <c r="M25" s="37">
        <f>M27/'Financial Statements'!D8</f>
        <v>1.0665332328831817E-2</v>
      </c>
    </row>
    <row r="26" spans="1:13" x14ac:dyDescent="0.3">
      <c r="A26" s="22">
        <f t="shared" ref="A26:A30" si="2">+A25+0.1</f>
        <v>3.2</v>
      </c>
      <c r="B26" s="1" t="s">
        <v>33</v>
      </c>
      <c r="C26" s="34">
        <f>'Financial Statements'!B59/'Financial Statements'!B50</f>
        <v>0.10394764881375196</v>
      </c>
      <c r="D26" s="34">
        <f>'Financial Statements'!C59/'Financial Statements'!C50</f>
        <v>0.14445305198957256</v>
      </c>
      <c r="E26" s="34">
        <f>'Financial Statements'!D59/'Financial Statements'!D50</f>
        <v>0.18843195491584799</v>
      </c>
      <c r="F26" s="34"/>
      <c r="J26" s="35" t="s">
        <v>172</v>
      </c>
      <c r="K26" s="37">
        <f>K27/'Financial Statements'!B49</f>
        <v>3.2362660378236652E-2</v>
      </c>
      <c r="L26" s="37">
        <f>L27/'Financial Statements'!C49</f>
        <v>2.403280523604464E-2</v>
      </c>
      <c r="M26" s="37">
        <f>M27/'Financial Statements'!D49</f>
        <v>2.667585392263018E-2</v>
      </c>
    </row>
    <row r="27" spans="1:13" x14ac:dyDescent="0.3">
      <c r="A27" s="22">
        <f t="shared" si="2"/>
        <v>3.3000000000000003</v>
      </c>
      <c r="B27" s="1" t="s">
        <v>34</v>
      </c>
      <c r="C27" s="34">
        <f>'Financial Statements'!B59/('Financial Statements'!B59+'Financial Statements'!B70)</f>
        <v>0.27393125394856915</v>
      </c>
      <c r="D27" s="34">
        <f>'Financial Statements'!C59/('Financial Statements'!C59+'Financial Statements'!C70)</f>
        <v>0.35044150110375277</v>
      </c>
      <c r="E27" s="34">
        <f>'Financial Statements'!D59/('Financial Statements'!D59+'Financial Statements'!D70)</f>
        <v>0.47172653092351102</v>
      </c>
      <c r="F27" s="34"/>
      <c r="J27" s="35" t="s">
        <v>173</v>
      </c>
      <c r="K27" s="39">
        <f>'Financial Statements'!B95</f>
        <v>4172</v>
      </c>
      <c r="L27" s="39">
        <f>'Financial Statements'!C95</f>
        <v>2104</v>
      </c>
      <c r="M27" s="39">
        <f>'Financial Statements'!D95</f>
        <v>1897</v>
      </c>
    </row>
    <row r="28" spans="1:13" x14ac:dyDescent="0.3">
      <c r="A28" s="22">
        <f t="shared" si="2"/>
        <v>3.4000000000000004</v>
      </c>
      <c r="B28" s="1" t="s">
        <v>35</v>
      </c>
      <c r="C28" s="34">
        <f>C21/('Financial Statements'!B111+'Financial Statements'!B113+'Financial Statements'!B114)</f>
        <v>9.3151825752722619</v>
      </c>
      <c r="D28" s="34">
        <f>D21/('Financial Statements'!C111+'Financial Statements'!C113+'Financial Statements'!C114)</f>
        <v>8.6920923722883128</v>
      </c>
      <c r="E28" s="34">
        <f>E21/('Financial Statements'!D111+'Financial Statements'!D113+'Financial Statements'!D114)</f>
        <v>6.346213292117465</v>
      </c>
      <c r="F28" s="34"/>
    </row>
    <row r="29" spans="1:13" x14ac:dyDescent="0.3">
      <c r="A29" s="22">
        <f t="shared" si="2"/>
        <v>3.5000000000000004</v>
      </c>
      <c r="B29" s="1" t="s">
        <v>36</v>
      </c>
      <c r="C29" s="34">
        <f>C21/(-'Financial Statements'!B102+'Financial Statements'!B111+'Financial Statements'!B113+'Financial Statements'!B114)</f>
        <v>3.425441696113074</v>
      </c>
      <c r="D29" s="34">
        <f>D21/(-'Financial Statements'!C102+'Financial Statements'!C111+'Financial Statements'!C113+'Financial Statements'!C114)</f>
        <v>5.9232236528373869</v>
      </c>
      <c r="E29" s="34">
        <f>E21/(-'Financial Statements'!D102+'Financial Statements'!D111+'Financial Statements'!D113+'Financial Statements'!D114)</f>
        <v>2.1078028747433266</v>
      </c>
      <c r="F29" s="34"/>
      <c r="G29" s="44" t="s">
        <v>181</v>
      </c>
    </row>
    <row r="30" spans="1:13" x14ac:dyDescent="0.3">
      <c r="A30" s="22">
        <f t="shared" si="2"/>
        <v>3.6000000000000005</v>
      </c>
      <c r="B30" s="1" t="s">
        <v>37</v>
      </c>
      <c r="C30" s="34">
        <f>C31/494</f>
        <v>91.010121457489873</v>
      </c>
      <c r="D30" s="34">
        <f t="shared" ref="D30:E30" si="3">D31/494</f>
        <v>68.006072874493924</v>
      </c>
      <c r="E30" s="34">
        <f t="shared" si="3"/>
        <v>73.866396761133601</v>
      </c>
      <c r="F30" s="34"/>
    </row>
    <row r="31" spans="1:13" x14ac:dyDescent="0.3">
      <c r="A31" s="22"/>
      <c r="B31" s="19" t="s">
        <v>38</v>
      </c>
      <c r="C31" s="39">
        <f>'Financial Statements'!B92+'Financial Statements'!B101+K27</f>
        <v>44959</v>
      </c>
      <c r="D31" s="39">
        <f>'Financial Statements'!C92+'Financial Statements'!C101+L27</f>
        <v>33595</v>
      </c>
      <c r="E31" s="39">
        <f>'Financial Statements'!D92+'Financial Statements'!D101+M27</f>
        <v>36490</v>
      </c>
      <c r="F31" s="39"/>
      <c r="G31" s="44" t="s">
        <v>182</v>
      </c>
    </row>
    <row r="32" spans="1:13" x14ac:dyDescent="0.3">
      <c r="A32" s="22"/>
    </row>
    <row r="33" spans="1:10" x14ac:dyDescent="0.3">
      <c r="A33" s="22">
        <f>+A24+1</f>
        <v>4</v>
      </c>
      <c r="B33" s="23" t="s">
        <v>39</v>
      </c>
    </row>
    <row r="34" spans="1:10" x14ac:dyDescent="0.3">
      <c r="A34" s="22">
        <f>+A33+0.1</f>
        <v>4.0999999999999996</v>
      </c>
      <c r="B34" s="1" t="s">
        <v>40</v>
      </c>
      <c r="C34" s="34">
        <f>'Financial Statements'!B8/'Financial Statements'!B50</f>
        <v>1.2453917459866459</v>
      </c>
      <c r="D34" s="34">
        <f>'Financial Statements'!C8/'Financial Statements'!C50</f>
        <v>1.431846687324775</v>
      </c>
      <c r="E34" s="34">
        <f>'Financial Statements'!D8/'Financial Statements'!D50</f>
        <v>1.3545503008148656</v>
      </c>
      <c r="F34" s="34"/>
    </row>
    <row r="35" spans="1:10" x14ac:dyDescent="0.3">
      <c r="A35" s="22">
        <f t="shared" ref="A35:A37" si="4">+A34+0.1</f>
        <v>4.1999999999999993</v>
      </c>
      <c r="B35" s="1" t="s">
        <v>41</v>
      </c>
      <c r="C35" s="34">
        <f>'Financial Statements'!B8/'Financial Statements'!B45</f>
        <v>3.8583591224812599</v>
      </c>
      <c r="D35" s="34">
        <f>'Financial Statements'!C8/'Financial Statements'!C45</f>
        <v>3.7685809990776251</v>
      </c>
      <c r="E35" s="34">
        <f>'Financial Statements'!D8/'Financial Statements'!D45</f>
        <v>3.6398723038513485</v>
      </c>
      <c r="F35" s="34"/>
    </row>
    <row r="36" spans="1:10" x14ac:dyDescent="0.3">
      <c r="A36" s="22">
        <f t="shared" si="4"/>
        <v>4.2999999999999989</v>
      </c>
      <c r="B36" s="1" t="s">
        <v>42</v>
      </c>
      <c r="C36" s="34">
        <f>'Financial Statements'!B9/'Financial Statements'!B41</f>
        <v>8.0761086988339752</v>
      </c>
      <c r="D36" s="34">
        <f>'Financial Statements'!C9/'Financial Statements'!C41</f>
        <v>8.1027134039827651</v>
      </c>
      <c r="E36" s="34">
        <f>'Financial Statements'!D9/'Financial Statements'!D41</f>
        <v>6.9753848071290587</v>
      </c>
      <c r="F36" s="34"/>
    </row>
    <row r="37" spans="1:10" x14ac:dyDescent="0.3">
      <c r="A37" s="22">
        <f t="shared" si="4"/>
        <v>4.3999999999999986</v>
      </c>
      <c r="B37" s="1" t="s">
        <v>43</v>
      </c>
      <c r="C37" s="37">
        <f>'Financial Statements'!B25/'Financial Statements'!B50</f>
        <v>5.1445517829237106E-2</v>
      </c>
      <c r="D37" s="37">
        <f>'Financial Statements'!C25/'Financial Statements'!C50</f>
        <v>6.1931287196891449E-2</v>
      </c>
      <c r="E37" s="37">
        <f>'Financial Statements'!D25/'Financial Statements'!D50</f>
        <v>2.3098012337217273E-2</v>
      </c>
      <c r="F37" s="37"/>
    </row>
    <row r="38" spans="1:10" x14ac:dyDescent="0.3">
      <c r="A38" s="22"/>
    </row>
    <row r="39" spans="1:10" x14ac:dyDescent="0.3">
      <c r="A39" s="22">
        <f>+A33+1</f>
        <v>5</v>
      </c>
      <c r="B39" s="23" t="s">
        <v>44</v>
      </c>
    </row>
    <row r="40" spans="1:10" x14ac:dyDescent="0.3">
      <c r="A40" s="22">
        <f>+A39+0.1</f>
        <v>5.0999999999999996</v>
      </c>
      <c r="B40" s="1" t="s">
        <v>45</v>
      </c>
      <c r="C40" s="34">
        <f>93.75/'Financial Statements'!B28</f>
        <v>4.0743155149934811</v>
      </c>
      <c r="D40" s="34">
        <f>73.26/'Financial Statements'!C28</f>
        <v>3.6375372393247272</v>
      </c>
      <c r="E40" s="34">
        <f>58.33/'Financial Statements'!D28</f>
        <v>9.4845528455284551</v>
      </c>
      <c r="F40" s="34"/>
    </row>
    <row r="41" spans="1:10" x14ac:dyDescent="0.3">
      <c r="A41" s="22">
        <f t="shared" ref="A41:A44" si="5">+A40+0.1</f>
        <v>5.1999999999999993</v>
      </c>
      <c r="B41" s="19" t="s">
        <v>46</v>
      </c>
      <c r="C41" s="42">
        <f>'Financial Statements'!B28</f>
        <v>23.01</v>
      </c>
      <c r="D41" s="42">
        <f>'Financial Statements'!C28</f>
        <v>20.14</v>
      </c>
      <c r="E41" s="42">
        <f>'Financial Statements'!D28</f>
        <v>6.15</v>
      </c>
      <c r="F41" s="42"/>
    </row>
    <row r="42" spans="1:10" x14ac:dyDescent="0.3">
      <c r="A42" s="22">
        <f t="shared" si="5"/>
        <v>5.2999999999999989</v>
      </c>
      <c r="B42" s="1" t="s">
        <v>47</v>
      </c>
      <c r="C42" s="42">
        <f>93.75/C43</f>
        <v>761.35997421849822</v>
      </c>
      <c r="D42" s="42">
        <f>73.26/D43</f>
        <v>841.12149532710293</v>
      </c>
      <c r="E42" s="42">
        <f>58.33/E43</f>
        <v>1037.8104586957306</v>
      </c>
      <c r="F42" s="42"/>
    </row>
    <row r="43" spans="1:10" x14ac:dyDescent="0.3">
      <c r="A43" s="22">
        <f t="shared" si="5"/>
        <v>5.3999999999999986</v>
      </c>
      <c r="B43" s="19" t="s">
        <v>48</v>
      </c>
      <c r="C43" s="42">
        <f>'Financial Statements'!B70/'Financial Statements'!B31</f>
        <v>0.12313492063492064</v>
      </c>
      <c r="D43" s="42">
        <f>'Financial Statements'!C70/'Financial Statements'!C31</f>
        <v>8.7097999999999995E-2</v>
      </c>
      <c r="E43" s="42">
        <f>'Financial Statements'!D70/'Financial Statements'!D31</f>
        <v>5.6204868154158212E-2</v>
      </c>
      <c r="F43" s="51" t="s">
        <v>186</v>
      </c>
      <c r="G43" s="44" t="s">
        <v>183</v>
      </c>
      <c r="H43" s="44"/>
      <c r="I43" s="44"/>
      <c r="J43" s="44"/>
    </row>
    <row r="44" spans="1:10" x14ac:dyDescent="0.3">
      <c r="A44" s="22">
        <f t="shared" si="5"/>
        <v>5.4999999999999982</v>
      </c>
      <c r="B44" s="1" t="s">
        <v>49</v>
      </c>
      <c r="C44" s="50" t="s">
        <v>174</v>
      </c>
      <c r="D44" s="50"/>
      <c r="E44" s="50"/>
      <c r="F44" s="45"/>
    </row>
    <row r="45" spans="1:10" x14ac:dyDescent="0.3">
      <c r="A45" s="22"/>
      <c r="B45" s="19" t="s">
        <v>50</v>
      </c>
      <c r="C45" s="50"/>
      <c r="D45" s="50"/>
      <c r="E45" s="50"/>
      <c r="F45" s="45"/>
    </row>
    <row r="46" spans="1:10" x14ac:dyDescent="0.3">
      <c r="A46" s="22">
        <f>+A44+0.1</f>
        <v>5.5999999999999979</v>
      </c>
      <c r="B46" s="1" t="s">
        <v>51</v>
      </c>
      <c r="C46" s="50"/>
      <c r="D46" s="50"/>
      <c r="E46" s="50"/>
      <c r="F46" s="45"/>
    </row>
    <row r="47" spans="1:10" x14ac:dyDescent="0.3">
      <c r="A47" s="22">
        <f t="shared" ref="A47:A50" si="6">+A45+0.1</f>
        <v>0.1</v>
      </c>
      <c r="B47" s="1" t="s">
        <v>52</v>
      </c>
      <c r="C47" s="37">
        <f>'Financial Statements'!B25/'Financial Statements'!B70</f>
        <v>0.1867225265871737</v>
      </c>
      <c r="D47" s="37">
        <f>'Financial Statements'!C25/'Financial Statements'!C70</f>
        <v>0.231302670555007</v>
      </c>
      <c r="E47" s="37">
        <f>'Financial Statements'!D25/'Financial Statements'!D70</f>
        <v>0.10945902053484427</v>
      </c>
      <c r="F47" s="37"/>
    </row>
    <row r="48" spans="1:10" x14ac:dyDescent="0.3">
      <c r="A48" s="22">
        <f t="shared" si="6"/>
        <v>5.6999999999999975</v>
      </c>
      <c r="B48" s="1" t="s">
        <v>53</v>
      </c>
      <c r="C48" s="37">
        <f>C21/('Financial Statements'!B59+'Financial Statements'!B70)</f>
        <v>0.17012190841659453</v>
      </c>
      <c r="D48" s="37">
        <f>D21/('Financial Statements'!C59+'Financial Statements'!C70)</f>
        <v>0.1852663922200346</v>
      </c>
      <c r="E48" s="37">
        <f>E21/('Financial Statements'!D59+'Financial Statements'!D70)</f>
        <v>7.8281095096469147E-2</v>
      </c>
      <c r="F48" s="37"/>
    </row>
    <row r="49" spans="1:10" x14ac:dyDescent="0.3">
      <c r="A49" s="22">
        <f t="shared" si="6"/>
        <v>0.2</v>
      </c>
      <c r="B49" s="1" t="s">
        <v>43</v>
      </c>
      <c r="C49" s="37">
        <f>'Financial Statements'!B25/'Financial Statements'!B50</f>
        <v>5.1445517829237106E-2</v>
      </c>
      <c r="D49" s="37">
        <f>'Financial Statements'!C25/'Financial Statements'!C50</f>
        <v>6.1931287196891449E-2</v>
      </c>
      <c r="E49" s="37">
        <f>'Financial Statements'!D25/'Financial Statements'!D50</f>
        <v>2.3098012337217273E-2</v>
      </c>
      <c r="F49" s="37"/>
    </row>
    <row r="50" spans="1:10" x14ac:dyDescent="0.3">
      <c r="A50" s="22">
        <f t="shared" si="6"/>
        <v>5.7999999999999972</v>
      </c>
      <c r="B50" s="1" t="s">
        <v>54</v>
      </c>
      <c r="C50" s="34">
        <f>C51/36330000</f>
        <v>1.3013243325075694</v>
      </c>
      <c r="D50" s="34">
        <f>D51/27762000</f>
        <v>1.6885092932785821</v>
      </c>
      <c r="E50" s="34">
        <f>E51/15584000</f>
        <v>2.9660530672484597</v>
      </c>
      <c r="F50" s="34"/>
    </row>
    <row r="51" spans="1:10" x14ac:dyDescent="0.3">
      <c r="A51" s="22"/>
      <c r="B51" s="19" t="s">
        <v>55</v>
      </c>
      <c r="C51" s="39">
        <f>(93.75*'Financial Statements'!B31)+'Financial Statements'!B58+'Financial Statements'!B59-('Financial Statements'!B39)</f>
        <v>47277113</v>
      </c>
      <c r="D51" s="39">
        <f>(93.75*'Financial Statements'!C31)+'Financial Statements'!C58+'Financial Statements'!C59-('Financial Statements'!C39)</f>
        <v>46876395</v>
      </c>
      <c r="E51" s="39">
        <f>(93.75*'Financial Statements'!D31)+'Financial Statements'!D58+'Financial Statements'!D59-('Financial Statements'!D39)</f>
        <v>46222971</v>
      </c>
      <c r="F51" s="39"/>
      <c r="G51" s="46" t="s">
        <v>180</v>
      </c>
      <c r="H51" s="46"/>
      <c r="I51" s="46"/>
      <c r="J51" s="46"/>
    </row>
  </sheetData>
  <mergeCells count="3">
    <mergeCell ref="C2:E2"/>
    <mergeCell ref="J3:M3"/>
    <mergeCell ref="C44:E46"/>
  </mergeCells>
  <pageMargins left="0.7" right="0.7" top="0.75" bottom="0.75" header="0.3" footer="0.3"/>
  <ignoredErrors>
    <ignoredError sqref="C19:E19 D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2023-10-17T17:05:09Z</dcterms:modified>
</cp:coreProperties>
</file>