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evitakuruvilla/Desktop/QCP/"/>
    </mc:Choice>
  </mc:AlternateContent>
  <xr:revisionPtr revIDLastSave="0" documentId="13_ncr:1_{F96B8CD3-D060-DE47-A556-E3658DE5170C}" xr6:coauthVersionLast="47" xr6:coauthVersionMax="47" xr10:uidLastSave="{00000000-0000-0000-0000-000000000000}"/>
  <bookViews>
    <workbookView xWindow="0" yWindow="0" windowWidth="28800" windowHeight="18000" activeTab="2" xr2:uid="{00000000-000D-0000-FFFF-FFFF00000000}"/>
  </bookViews>
  <sheets>
    <sheet name="Instructions" sheetId="2" r:id="rId1"/>
    <sheet name="Financial Statements" sheetId="1" r:id="rId2"/>
    <sheet name="List of Ratio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3" l="1"/>
  <c r="F46" i="3"/>
  <c r="D46" i="3"/>
  <c r="E30" i="3"/>
  <c r="F30" i="3"/>
  <c r="D30" i="3"/>
  <c r="C136" i="1"/>
  <c r="D136" i="1"/>
  <c r="B136" i="1"/>
  <c r="C135" i="1"/>
  <c r="D135" i="1"/>
  <c r="B135" i="1"/>
  <c r="E31" i="3"/>
  <c r="F31" i="3"/>
  <c r="D31" i="3"/>
  <c r="C142" i="1"/>
  <c r="D142" i="1"/>
  <c r="B142" i="1"/>
  <c r="D51" i="3"/>
  <c r="E51" i="3"/>
  <c r="F51" i="3"/>
  <c r="C141" i="1"/>
  <c r="D141" i="1"/>
  <c r="B141" i="1"/>
  <c r="C127" i="1"/>
  <c r="D127" i="1"/>
  <c r="B127" i="1"/>
  <c r="D48" i="3"/>
  <c r="C140" i="1"/>
  <c r="D140" i="1"/>
  <c r="B140" i="1"/>
  <c r="E47" i="3"/>
  <c r="F47" i="3"/>
  <c r="D47" i="3"/>
  <c r="E43" i="3"/>
  <c r="F43" i="3"/>
  <c r="D43" i="3"/>
  <c r="E45" i="3"/>
  <c r="F45" i="3"/>
  <c r="D45" i="3"/>
  <c r="C139" i="1"/>
  <c r="D139" i="1"/>
  <c r="B139" i="1"/>
  <c r="C118" i="1" l="1"/>
  <c r="D118" i="1"/>
  <c r="B118" i="1"/>
  <c r="C117" i="1"/>
  <c r="D117" i="1"/>
  <c r="B117" i="1"/>
  <c r="C116" i="1"/>
  <c r="D116" i="1"/>
  <c r="B116" i="1"/>
  <c r="E8" i="3"/>
  <c r="F8" i="3"/>
  <c r="D8" i="3"/>
  <c r="E9" i="3"/>
  <c r="F9" i="3"/>
  <c r="C137" i="1"/>
  <c r="D137" i="1"/>
  <c r="B137" i="1"/>
  <c r="C138" i="1"/>
  <c r="D138" i="1"/>
  <c r="B138" i="1"/>
  <c r="E56" i="3" l="1"/>
  <c r="D56" i="3"/>
  <c r="E55" i="3"/>
  <c r="D55" i="3"/>
  <c r="E77" i="3"/>
  <c r="F77" i="3"/>
  <c r="D77" i="3"/>
  <c r="E40" i="3"/>
  <c r="F40" i="3"/>
  <c r="D40" i="3"/>
  <c r="E41" i="3"/>
  <c r="F41" i="3"/>
  <c r="D41" i="3"/>
  <c r="C134" i="1"/>
  <c r="D134" i="1"/>
  <c r="B134" i="1"/>
  <c r="C129" i="1" l="1"/>
  <c r="E60" i="3" s="1"/>
  <c r="B129" i="1"/>
  <c r="D60" i="3" s="1"/>
  <c r="C128" i="1"/>
  <c r="E59" i="3" s="1"/>
  <c r="B128" i="1"/>
  <c r="D59" i="3" s="1"/>
  <c r="F44" i="3"/>
  <c r="D56" i="1"/>
  <c r="F7" i="3" s="1"/>
  <c r="D108" i="1"/>
  <c r="C108" i="1"/>
  <c r="B108" i="1"/>
  <c r="D99" i="1"/>
  <c r="C99" i="1"/>
  <c r="B99" i="1"/>
  <c r="F6" i="3" l="1"/>
  <c r="D44" i="3"/>
  <c r="E44" i="3"/>
  <c r="D68" i="1"/>
  <c r="C68" i="1"/>
  <c r="B68" i="1"/>
  <c r="D61" i="1"/>
  <c r="C61" i="1"/>
  <c r="B61" i="1"/>
  <c r="C56" i="1"/>
  <c r="B56" i="1"/>
  <c r="D47" i="1"/>
  <c r="C47" i="1"/>
  <c r="B47" i="1"/>
  <c r="D42" i="1"/>
  <c r="C42" i="1"/>
  <c r="B42" i="1"/>
  <c r="D17" i="1"/>
  <c r="D133" i="1" s="1"/>
  <c r="C17" i="1"/>
  <c r="C133" i="1" s="1"/>
  <c r="B17" i="1"/>
  <c r="B133" i="1" s="1"/>
  <c r="D12" i="1"/>
  <c r="C12" i="1"/>
  <c r="B12" i="1"/>
  <c r="D9" i="3" s="1"/>
  <c r="D8" i="1"/>
  <c r="C8" i="1"/>
  <c r="B8" i="1"/>
  <c r="D57" i="3" s="1"/>
  <c r="F3" i="3"/>
  <c r="E3" i="3"/>
  <c r="D3" i="3"/>
  <c r="D33" i="1"/>
  <c r="D73" i="1" s="1"/>
  <c r="C33" i="1"/>
  <c r="C73" i="1" s="1"/>
  <c r="B33" i="1"/>
  <c r="B73" i="1" s="1"/>
  <c r="E57" i="3" l="1"/>
  <c r="F25" i="3"/>
  <c r="F27" i="3"/>
  <c r="F10" i="3"/>
  <c r="F66" i="3"/>
  <c r="D11" i="3"/>
  <c r="D76" i="3"/>
  <c r="D70" i="3"/>
  <c r="B13" i="1"/>
  <c r="D69" i="3"/>
  <c r="E27" i="3"/>
  <c r="E25" i="3"/>
  <c r="C132" i="1"/>
  <c r="E63" i="3" s="1"/>
  <c r="E76" i="3"/>
  <c r="E11" i="3"/>
  <c r="E69" i="3"/>
  <c r="E70" i="3"/>
  <c r="F11" i="3"/>
  <c r="F76" i="3"/>
  <c r="F69" i="3"/>
  <c r="F70" i="3"/>
  <c r="D36" i="3"/>
  <c r="D10" i="3"/>
  <c r="D66" i="3"/>
  <c r="E36" i="3"/>
  <c r="E10" i="3"/>
  <c r="E66" i="3"/>
  <c r="D27" i="3"/>
  <c r="D25" i="3"/>
  <c r="B132" i="1"/>
  <c r="D63" i="3" s="1"/>
  <c r="D7" i="3"/>
  <c r="D6" i="3"/>
  <c r="D13" i="1"/>
  <c r="F35" i="3"/>
  <c r="F5" i="3"/>
  <c r="F14" i="3"/>
  <c r="F13" i="3" s="1"/>
  <c r="F36" i="3"/>
  <c r="C125" i="1"/>
  <c r="C62" i="1"/>
  <c r="C69" i="1" s="1"/>
  <c r="E6" i="3"/>
  <c r="E7" i="3"/>
  <c r="E5" i="3"/>
  <c r="E14" i="3"/>
  <c r="E13" i="3" s="1"/>
  <c r="B125" i="1"/>
  <c r="D125" i="1"/>
  <c r="B18" i="1"/>
  <c r="D35" i="3"/>
  <c r="E35" i="3"/>
  <c r="B48" i="1"/>
  <c r="B122" i="1" s="1"/>
  <c r="D5" i="3"/>
  <c r="D14" i="3"/>
  <c r="D13" i="3" s="1"/>
  <c r="C13" i="1"/>
  <c r="E58" i="3" s="1"/>
  <c r="B62" i="1"/>
  <c r="C48" i="1"/>
  <c r="D62" i="1"/>
  <c r="D48" i="1"/>
  <c r="A47" i="3"/>
  <c r="A49" i="3" s="1"/>
  <c r="A16" i="3"/>
  <c r="A17" i="3" s="1"/>
  <c r="A18" i="3" s="1"/>
  <c r="A20" i="3" s="1"/>
  <c r="A22" i="3" s="1"/>
  <c r="A5" i="3"/>
  <c r="A6" i="3" s="1"/>
  <c r="A7" i="3" s="1"/>
  <c r="A8" i="3" s="1"/>
  <c r="A9" i="3" s="1"/>
  <c r="A10" i="3" s="1"/>
  <c r="A11" i="3" s="1"/>
  <c r="A12" i="3" s="1"/>
  <c r="A13" i="3" s="1"/>
  <c r="D58" i="3" l="1"/>
  <c r="D12" i="3"/>
  <c r="F12" i="3"/>
  <c r="F26" i="3"/>
  <c r="F42" i="3"/>
  <c r="B20" i="1"/>
  <c r="B22" i="1" s="1"/>
  <c r="D72" i="3" s="1"/>
  <c r="D21" i="3"/>
  <c r="D19" i="3" s="1"/>
  <c r="D71" i="3"/>
  <c r="F17" i="3"/>
  <c r="F67" i="3"/>
  <c r="C122" i="1"/>
  <c r="E42" i="3"/>
  <c r="E26" i="3"/>
  <c r="C130" i="1"/>
  <c r="E61" i="3" s="1"/>
  <c r="E12" i="3"/>
  <c r="D42" i="3"/>
  <c r="D26" i="3"/>
  <c r="B130" i="1"/>
  <c r="D61" i="3" s="1"/>
  <c r="C131" i="1"/>
  <c r="E62" i="3" s="1"/>
  <c r="B131" i="1"/>
  <c r="D62" i="3" s="1"/>
  <c r="C18" i="1"/>
  <c r="E17" i="3"/>
  <c r="E67" i="3"/>
  <c r="D17" i="3"/>
  <c r="D67" i="3"/>
  <c r="D124" i="1"/>
  <c r="D123" i="1"/>
  <c r="F34" i="3"/>
  <c r="D34" i="3"/>
  <c r="B123" i="1"/>
  <c r="B124" i="1"/>
  <c r="D69" i="1"/>
  <c r="D126" i="1"/>
  <c r="C126" i="1"/>
  <c r="B69" i="1"/>
  <c r="B126" i="1"/>
  <c r="D122" i="1"/>
  <c r="D18" i="1"/>
  <c r="E34" i="3"/>
  <c r="C124" i="1"/>
  <c r="C123" i="1"/>
  <c r="A24" i="3"/>
  <c r="A25" i="3" s="1"/>
  <c r="A26" i="3" s="1"/>
  <c r="A27" i="3" s="1"/>
  <c r="A28" i="3" s="1"/>
  <c r="A29" i="3" s="1"/>
  <c r="A30" i="3" s="1"/>
  <c r="D50" i="3" l="1"/>
  <c r="C20" i="1"/>
  <c r="C22" i="1" s="1"/>
  <c r="E72" i="3" s="1"/>
  <c r="E21" i="3"/>
  <c r="E19" i="3" s="1"/>
  <c r="E50" i="3" s="1"/>
  <c r="E71" i="3"/>
  <c r="D20" i="1"/>
  <c r="D22" i="1" s="1"/>
  <c r="F72" i="3" s="1"/>
  <c r="F21" i="3"/>
  <c r="F19" i="3" s="1"/>
  <c r="F71" i="3"/>
  <c r="A33" i="3"/>
  <c r="A34" i="3" s="1"/>
  <c r="A35" i="3" s="1"/>
  <c r="A36" i="3" s="1"/>
  <c r="A37" i="3" s="1"/>
  <c r="D28" i="3"/>
  <c r="D20" i="3"/>
  <c r="E37" i="3"/>
  <c r="E49" i="3" s="1"/>
  <c r="C77" i="1"/>
  <c r="E22" i="3"/>
  <c r="C121" i="1"/>
  <c r="C76" i="1"/>
  <c r="B77" i="1"/>
  <c r="D18" i="3"/>
  <c r="D37" i="3"/>
  <c r="D49" i="3" s="1"/>
  <c r="D22" i="3"/>
  <c r="B76" i="1"/>
  <c r="B121" i="1"/>
  <c r="E28" i="3"/>
  <c r="A39" i="3"/>
  <c r="A40" i="3" s="1"/>
  <c r="A41" i="3" s="1"/>
  <c r="A42" i="3" s="1"/>
  <c r="A43" i="3" s="1"/>
  <c r="A44" i="3" s="1"/>
  <c r="A46" i="3" s="1"/>
  <c r="A48" i="3" s="1"/>
  <c r="A50" i="3" s="1"/>
  <c r="E20" i="3" l="1"/>
  <c r="C91" i="1"/>
  <c r="C109" i="1" s="1"/>
  <c r="E48" i="3"/>
  <c r="E18" i="3"/>
  <c r="B91" i="1"/>
  <c r="F28" i="3"/>
  <c r="F48" i="3"/>
  <c r="F20" i="3"/>
  <c r="D77" i="1"/>
  <c r="F37" i="3"/>
  <c r="F49" i="3" s="1"/>
  <c r="D121" i="1"/>
  <c r="F22" i="3"/>
  <c r="D76" i="1"/>
  <c r="D91" i="1" l="1"/>
  <c r="D109" i="1" s="1"/>
  <c r="B109" i="1"/>
  <c r="F18" i="3"/>
  <c r="F50" i="3"/>
</calcChain>
</file>

<file path=xl/sharedStrings.xml><?xml version="1.0" encoding="utf-8"?>
<sst xmlns="http://schemas.openxmlformats.org/spreadsheetml/2006/main" count="295" uniqueCount="250">
  <si>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</si>
  <si>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</si>
  <si>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</si>
  <si>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</si>
  <si>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</si>
  <si>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</si>
  <si>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</si>
  <si>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</si>
  <si>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</si>
  <si>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</si>
  <si>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</si>
  <si>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</si>
  <si>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</si>
  <si>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</si>
  <si>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</si>
  <si>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</si>
  <si>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</si>
  <si>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</si>
  <si>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</si>
  <si>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</si>
  <si>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</si>
  <si>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</si>
  <si>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</si>
  <si>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</si>
  <si>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</si>
  <si>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</si>
  <si>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</si>
  <si>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</si>
  <si>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</si>
  <si>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</si>
  <si>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</si>
  <si>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</si>
  <si>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</si>
  <si>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</si>
  <si>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</si>
  <si>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</si>
  <si>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</si>
  <si>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</si>
  <si>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</si>
  <si>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</si>
  <si>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</si>
  <si>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</si>
  <si>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</si>
  <si>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</si>
  <si>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</si>
  <si>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</si>
  <si>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</si>
  <si>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</si>
  <si>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</si>
  <si>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</si>
  <si>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</si>
  <si>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</si>
  <si>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</si>
  <si>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</si>
  <si>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</si>
  <si>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</si>
  <si>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</si>
  <si>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</si>
  <si>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</si>
  <si>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</si>
  <si>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</si>
  <si>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</si>
  <si>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</si>
  <si>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</si>
  <si>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</si>
  <si>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</si>
  <si>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</si>
  <si>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</si>
  <si>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</si>
  <si>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</si>
  <si>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</si>
  <si>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</si>
  <si>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</si>
  <si>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</si>
  <si>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</si>
  <si>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</si>
  <si>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</si>
  <si>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</si>
  <si>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</si>
  <si>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</si>
  <si>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</si>
  <si>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</si>
  <si>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</si>
  <si>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</si>
  <si>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</si>
  <si>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</si>
  <si>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</si>
  <si>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</si>
  <si>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</si>
  <si>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</si>
  <si>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</si>
  <si>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</si>
  <si>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</si>
  <si>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</si>
  <si>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</si>
  <si>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</si>
  <si>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</si>
  <si>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</si>
  <si>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</si>
  <si>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</si>
  <si>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</si>
  <si>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</si>
  <si>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</si>
  <si>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</si>
  <si>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</si>
  <si>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</si>
  <si>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</si>
  <si>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</si>
  <si>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</si>
  <si>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</si>
  <si>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</si>
  <si>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</si>
  <si>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</si>
  <si>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</si>
  <si>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</si>
  <si>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</si>
  <si>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</si>
  <si>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</si>
  <si>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</si>
  <si>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</si>
  <si>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</si>
  <si>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</si>
  <si>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</si>
  <si>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</si>
  <si>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</si>
  <si>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</si>
  <si>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</si>
  <si>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</si>
  <si>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</si>
  <si>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</si>
  <si>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</si>
  <si>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</si>
  <si>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</si>
  <si>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</si>
  <si>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</si>
  <si>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</si>
  <si>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</si>
  <si>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</si>
  <si>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</si>
  <si>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</si>
  <si>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</si>
  <si>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</si>
  <si>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</si>
  <si>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</si>
  <si>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</si>
  <si>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</si>
  <si>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</si>
  <si>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</si>
  <si>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</si>
  <si>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 xml:space="preserve">Formula </t>
  </si>
  <si>
    <t xml:space="preserve">Current Asset/Current Liability </t>
  </si>
  <si>
    <t>(Cash+Current Marketable Securuties + Reciveables)/ Current Liabilities)</t>
  </si>
  <si>
    <t xml:space="preserve">(Cash+Marketable Securites)/ Current Liablities </t>
  </si>
  <si>
    <t xml:space="preserve">(Cash+Mrt.sec. + Recieveables)/Daily cash Expenditures </t>
  </si>
  <si>
    <t>(Average Inventory /COGS)*365</t>
  </si>
  <si>
    <t xml:space="preserve">Average Inventory </t>
  </si>
  <si>
    <t xml:space="preserve">Total Current Assets - Toatal rent Liabilities </t>
  </si>
  <si>
    <t>Working Capital/ Sales X 100</t>
  </si>
  <si>
    <t xml:space="preserve">Earnings + Interest+Income Tax +D&amp;A Expense </t>
  </si>
  <si>
    <t xml:space="preserve">EBITA/Total Sales </t>
  </si>
  <si>
    <t xml:space="preserve">Net Income/ Revenue </t>
  </si>
  <si>
    <t>Operating Profit</t>
  </si>
  <si>
    <t xml:space="preserve">Operating Profit/ Revenue </t>
  </si>
  <si>
    <t xml:space="preserve">Total Debt/ Total Equity </t>
  </si>
  <si>
    <t>Total Debt/Total Assets</t>
  </si>
  <si>
    <t xml:space="preserve">Total Debt/ Total Debt + Total Equity </t>
  </si>
  <si>
    <t xml:space="preserve">Interest Coverage = EBIT/Interest </t>
  </si>
  <si>
    <t xml:space="preserve">COGS/Average Inventory </t>
  </si>
  <si>
    <t>Stock Price/Earnings Per Share</t>
  </si>
  <si>
    <t xml:space="preserve">Net Income -Prefferd Divident/ Wtd Avg No of Common Shs Outstanding </t>
  </si>
  <si>
    <t xml:space="preserve">Market Price per Share(Market Cap) / Book Value Per Share </t>
  </si>
  <si>
    <t xml:space="preserve">DPS/EPS or Total Dividend Paid / Total Earnings </t>
  </si>
  <si>
    <t xml:space="preserve">Annualized Dividend Amount/ Weighted average Share Count </t>
  </si>
  <si>
    <t xml:space="preserve">DPS/Share Price </t>
  </si>
  <si>
    <t xml:space="preserve">Revenue/Average Total Assets </t>
  </si>
  <si>
    <t xml:space="preserve">Revenue/ Average Net Fixed Assets </t>
  </si>
  <si>
    <t xml:space="preserve">operating profit </t>
  </si>
  <si>
    <t xml:space="preserve">Using total assets for the first year as average total asset </t>
  </si>
  <si>
    <t xml:space="preserve">Average Net Fixed Assets. </t>
  </si>
  <si>
    <t xml:space="preserve">Net Income/Average Total Assets </t>
  </si>
  <si>
    <t xml:space="preserve">Stock Price </t>
  </si>
  <si>
    <t>(Net Income/Sales)</t>
  </si>
  <si>
    <t>(Sales/Assests)</t>
  </si>
  <si>
    <t xml:space="preserve">(Assets/Equity) </t>
  </si>
  <si>
    <t xml:space="preserve">Total Assets - Total Current Liabilities </t>
  </si>
  <si>
    <t xml:space="preserve">Shareholders Equity+Long term Liabilities </t>
  </si>
  <si>
    <t>(Book Value of Debt- Cash and Equvivalent)</t>
  </si>
  <si>
    <t xml:space="preserve">Growth Rates </t>
  </si>
  <si>
    <t xml:space="preserve">Products Net Sales </t>
  </si>
  <si>
    <t xml:space="preserve">Services Net Sales </t>
  </si>
  <si>
    <t xml:space="preserve">Total Net Sales. </t>
  </si>
  <si>
    <t>(Current Period Sales- Prior Period Sales)/ Prior Period Sales *100</t>
  </si>
  <si>
    <t xml:space="preserve">Gross Profits </t>
  </si>
  <si>
    <t>((Current year-Previous Year)/Previous Year)*100</t>
  </si>
  <si>
    <t xml:space="preserve">R&amp;D Operating Expenses </t>
  </si>
  <si>
    <t xml:space="preserve">Selling, general and administrative Operating Expenses </t>
  </si>
  <si>
    <t>R&amp;D Operating Expenses (Current Period - Previous Period)</t>
  </si>
  <si>
    <t>Selling, general and administrative Operating Expenses (Current Period - Previous Period)</t>
  </si>
  <si>
    <t>Total assets (Current Period - Previous Period)</t>
  </si>
  <si>
    <t>Total liabilities (Current Period - Previous Period)</t>
  </si>
  <si>
    <t>Total shareholders’ equity (Current Period - Previous Period)</t>
  </si>
  <si>
    <t xml:space="preserve">Total assets </t>
  </si>
  <si>
    <t xml:space="preserve">Total shareholders’ equity </t>
  </si>
  <si>
    <t>margins/ as a % of net sales for the following:</t>
  </si>
  <si>
    <t>(COGS/Net Sales)*100</t>
  </si>
  <si>
    <t>(Gross Profits/Net Sales) *100</t>
  </si>
  <si>
    <t>(Research and development/Net Sales)*100</t>
  </si>
  <si>
    <t>(Selling, general and administrative/Net Sales) * 100</t>
  </si>
  <si>
    <t>(Operating income/Net Sales) * 100</t>
  </si>
  <si>
    <t>(Net profit/ Net Sales) * 100</t>
  </si>
  <si>
    <t>((Current Year PPE - Previous Year PPE + Dep Exp for current year)/sales)*100</t>
  </si>
  <si>
    <t>((Current Year PPE - Previous Year PPE + Dep Exp for current year)/Fixed Assets)*100</t>
  </si>
  <si>
    <t>Cash+Mrt.sec. + Recieveables</t>
  </si>
  <si>
    <t>Daily Cash Expenses  (Operating Expenses/365)</t>
  </si>
  <si>
    <t>(Average Accounts Payable/ COGS)*365</t>
  </si>
  <si>
    <t>Average Accounts Payable</t>
  </si>
  <si>
    <t xml:space="preserve">Average Accounts Reciveable </t>
  </si>
  <si>
    <t>(Average Accounts Reciveables/Revenue)* 365</t>
  </si>
  <si>
    <r>
      <t xml:space="preserve">Net trading cycle </t>
    </r>
    <r>
      <rPr>
        <b/>
        <sz val="11"/>
        <color theme="1"/>
        <rFont val="Calibri"/>
        <family val="2"/>
        <scheme val="minor"/>
      </rPr>
      <t>CCC</t>
    </r>
  </si>
  <si>
    <t>(Inventory Days +Reciveable Dayable-Payable Days)</t>
  </si>
  <si>
    <t xml:space="preserve">Gross Profit/ Revenue </t>
  </si>
  <si>
    <t xml:space="preserve">Cash From Operations - Capital Expenditures+ Net Debt Issued. </t>
  </si>
  <si>
    <t xml:space="preserve">FCFE/No of Shares </t>
  </si>
  <si>
    <t xml:space="preserve">Average Total Assets/ Average Total Capital </t>
  </si>
  <si>
    <t xml:space="preserve">Total Assets - Total Liabilities / Common Shares Outstanding </t>
  </si>
  <si>
    <t>EV/EBITDA</t>
  </si>
  <si>
    <t xml:space="preserve">Additional Items </t>
  </si>
  <si>
    <t>Daily Operational Expenses = (Annual Operating Expenses - Noncash Charges) / 365</t>
  </si>
  <si>
    <t xml:space="preserve"> Note that the income statement is in millions while the share count is in absolute value, therefore, please divide the share count by 1,000</t>
  </si>
  <si>
    <t>Link dividend from cash flow statement and  note that the income statement is in millions while the share count is in absolute value, therefore, please divide the share count by 1,000</t>
  </si>
  <si>
    <t>Net Income / Shareholders Equity</t>
  </si>
  <si>
    <t>EBIT / Capital Employed where Capital Employed = Equity + Term Debt</t>
  </si>
  <si>
    <t>Market Cap + Total Debt - (Cash + Cash Equivalents),  Note that the income statement is in millions while the share count is in absolute value, therefore, please divide the share count by 1,000</t>
  </si>
  <si>
    <t>Average inventory calculation C39+B39/2 should be bracketed (C39+B39)/2</t>
  </si>
  <si>
    <t xml:space="preserve">Average payable calculation should be bracketed </t>
  </si>
  <si>
    <t xml:space="preserve">Average receivable calculation should be bracketed </t>
  </si>
  <si>
    <t>Capex in cash flow is a negative figure, therefore, it becomes positive when you link it with -</t>
  </si>
  <si>
    <t xml:space="preserve">Average assets calculation should be bracketed </t>
  </si>
  <si>
    <t xml:space="preserve">Average calculation should be bracketed </t>
  </si>
  <si>
    <t>Feedback</t>
  </si>
  <si>
    <t>Non cash expenses (D&amp;E Expenses +Share based compensation)</t>
  </si>
  <si>
    <t>share count / 1000</t>
  </si>
  <si>
    <t xml:space="preserve">Dividend Per Share </t>
  </si>
  <si>
    <t xml:space="preserve">Net Income/shareholders equity </t>
  </si>
  <si>
    <t>Capital Employed  = Equity + Term Debt</t>
  </si>
  <si>
    <t>EBIT/(Equity + Term Debt)</t>
  </si>
  <si>
    <t xml:space="preserve">Market Cap (share price*share count) </t>
  </si>
  <si>
    <t xml:space="preserve">Market Cap + total debt </t>
  </si>
  <si>
    <t>Market Cap + total debt - (Cash and Equvivalent)</t>
  </si>
  <si>
    <t xml:space="preserve">Net debt issued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</si>
</sst>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sz val="11"/>
      <color rgb="FF000000"/>
      <name val="Calibri"/>
      <family val="2"/>
      <scheme val="minor"/>
    </font>
    <font>
      <sz val="8"/>
      <name val="Calibri"/>
      <family val="2"/>
      <scheme val="minor"/>
    </font>
    <font>
      <sz val="11"/>
      <color rgb="FFFF0000"/>
      <name val="Calibri"/>
      <family val="2"/>
      <scheme val="minor"/>
    </font>
    <font>
      <sz val="11"/>
      <color rgb="FFC0000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0"/>
        <bgColor indexed="64"/>
      </patternFill>
    </fill>
    <fill>
      <patternFill patternType="solid">
        <fgColor rgb="FF0FDD85"/>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cellStyleXfs>
  <cellXfs count="41">
    <xf numFmtId="0" fontId="0" fillId="0" borderId="0" xfId="0"/>
    <xf numFmtId="0" fontId="0" fillId="0" borderId="0" xfId="0" applyAlignment="1">
      <alignment horizontal="left" indent="1"/>
    </xf>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0" xfId="0" applyFont="1" applyAlignment="1">
      <alignment horizontal="left" indent="1"/>
    </xf>
    <xf numFmtId="164" fontId="0" fillId="0" borderId="0" xfId="1" applyNumberFormat="1" applyFont="1"/>
    <xf numFmtId="0" fontId="6" fillId="0" borderId="0" xfId="2" applyAlignment="1">
      <alignment horizontal="left" indent="1"/>
    </xf>
    <xf numFmtId="0" fontId="2" fillId="0" borderId="0" xfId="0" applyFont="1" applyAlignment="1">
      <alignment horizontal="left"/>
    </xf>
    <xf numFmtId="165"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4" fontId="0" fillId="0" borderId="0" xfId="0" applyNumberFormat="1"/>
    <xf numFmtId="164" fontId="0" fillId="4" borderId="0" xfId="1" applyNumberFormat="1" applyFont="1" applyFill="1"/>
    <xf numFmtId="164" fontId="0" fillId="0" borderId="0" xfId="1" applyNumberFormat="1" applyFont="1" applyFill="1"/>
    <xf numFmtId="43" fontId="0" fillId="0" borderId="0" xfId="0" applyNumberFormat="1"/>
    <xf numFmtId="0" fontId="8" fillId="0" borderId="0" xfId="0" applyFont="1" applyAlignment="1">
      <alignment horizontal="left" indent="1"/>
    </xf>
    <xf numFmtId="0" fontId="0" fillId="5" borderId="0" xfId="0" applyFill="1"/>
    <xf numFmtId="0" fontId="2" fillId="0" borderId="2" xfId="0" applyFont="1" applyBorder="1"/>
    <xf numFmtId="0" fontId="2" fillId="0" borderId="1" xfId="0" applyFont="1" applyBorder="1"/>
    <xf numFmtId="164" fontId="2" fillId="0" borderId="1" xfId="1" applyNumberFormat="1" applyFont="1" applyFill="1" applyBorder="1"/>
    <xf numFmtId="164" fontId="2" fillId="0" borderId="2" xfId="1" applyNumberFormat="1" applyFont="1" applyFill="1" applyBorder="1"/>
    <xf numFmtId="3" fontId="0" fillId="0" borderId="0" xfId="0" applyNumberFormat="1"/>
    <xf numFmtId="0" fontId="2" fillId="0" borderId="3" xfId="0" applyFont="1" applyBorder="1" applyAlignment="1">
      <alignment horizontal="left"/>
    </xf>
    <xf numFmtId="164" fontId="0" fillId="0" borderId="3" xfId="1" applyNumberFormat="1" applyFont="1" applyFill="1" applyBorder="1"/>
    <xf numFmtId="164" fontId="2" fillId="0" borderId="0" xfId="1" applyNumberFormat="1" applyFont="1" applyFill="1"/>
    <xf numFmtId="2" fontId="0" fillId="0" borderId="0" xfId="0" applyNumberFormat="1"/>
    <xf numFmtId="0" fontId="10" fillId="0" borderId="0" xfId="0" applyFont="1"/>
    <xf numFmtId="164" fontId="10" fillId="0" borderId="0" xfId="1" applyNumberFormat="1" applyFont="1" applyFill="1"/>
    <xf numFmtId="0" fontId="2" fillId="0" borderId="0" xfId="0" applyFont="1" applyAlignment="1">
      <alignment horizontal="center"/>
    </xf>
    <xf numFmtId="0" fontId="2" fillId="3" borderId="0" xfId="0" applyFont="1" applyFill="1" applyAlignment="1">
      <alignment horizontal="center"/>
    </xf>
    <xf numFmtId="0" fontId="11" fillId="0" borderId="0" xfId="0" applyFont="1" applyFill="1" applyAlignment="1">
      <alignment horizontal="left" indent="1"/>
    </xf>
    <xf numFmtId="0" fontId="0" fillId="0" borderId="0" xfId="0" applyFill="1" applyAlignment="1">
      <alignment horizontal="left" indent="1"/>
    </xf>
    <xf numFmtId="165" fontId="0" fillId="0" borderId="0" xfId="0" applyNumberFormat="1" applyFill="1"/>
    <xf numFmtId="0" fontId="0" fillId="0" borderId="0" xfId="0" applyFill="1"/>
    <xf numFmtId="0" fontId="11" fillId="0" borderId="0" xfId="0" applyFont="1" applyFill="1" applyAlignment="1">
      <alignment horizontal="left" indent="2"/>
    </xf>
    <xf numFmtId="0" fontId="0" fillId="0" borderId="0" xfId="0" applyFill="1" applyAlignment="1">
      <alignment horizontal="left" indent="2"/>
    </xf>
    <xf numFmtId="0" fontId="2" fillId="0" borderId="0" xfId="0" applyFont="1" applyFill="1" applyAlignment="1">
      <alignment horizontal="left"/>
    </xf>
    <xf numFmtId="1" fontId="0" fillId="0" borderId="0" xfId="0" applyNumberFormat="1" applyFill="1"/>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A2D0EC"/>
      <color rgb="FF0FDD85"/>
      <color rgb="FFE94BE2"/>
      <color rgb="FF3E13CE"/>
      <color rgb="FFA3A2EC"/>
      <color rgb="FFE96D62"/>
      <color rgb="FFEAA144"/>
      <color rgb="FFD74111"/>
      <color rgb="FFBAD8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workbookViewId="0">
      <selection activeCell="A27" sqref="A27"/>
    </sheetView>
  </sheetViews>
  <sheetFormatPr baseColWidth="10" defaultColWidth="8.83203125" defaultRowHeight="15" x14ac:dyDescent="0.2"/>
  <cols>
    <col min="1" max="1" width="104.5" customWidth="1"/>
  </cols>
  <sheetData>
    <row r="1" spans="1:1" ht="24" x14ac:dyDescent="0.3">
      <c r="A1" s="4" t="s">
        <v>87</v>
      </c>
    </row>
    <row r="3" spans="1:1" x14ac:dyDescent="0.2">
      <c r="A3" s="6" t="s">
        <v>140</v>
      </c>
    </row>
    <row r="4" spans="1:1" x14ac:dyDescent="0.2">
      <c r="A4" s="9" t="s">
        <v>88</v>
      </c>
    </row>
    <row r="5" spans="1:1" x14ac:dyDescent="0.2">
      <c r="A5" s="6" t="s">
        <v>97</v>
      </c>
    </row>
    <row r="6" spans="1:1" x14ac:dyDescent="0.2">
      <c r="A6" s="1" t="s">
        <v>147</v>
      </c>
    </row>
    <row r="7" spans="1:1" x14ac:dyDescent="0.2">
      <c r="A7" s="1"/>
    </row>
    <row r="8" spans="1:1" x14ac:dyDescent="0.2">
      <c r="A8" s="10" t="s">
        <v>148</v>
      </c>
    </row>
    <row r="9" spans="1:1" x14ac:dyDescent="0.2">
      <c r="A9" s="1" t="s">
        <v>144</v>
      </c>
    </row>
    <row r="10" spans="1:1" x14ac:dyDescent="0.2">
      <c r="A10" s="1" t="s">
        <v>89</v>
      </c>
    </row>
    <row r="11" spans="1:1" x14ac:dyDescent="0.2">
      <c r="A11" s="1" t="s">
        <v>90</v>
      </c>
    </row>
    <row r="12" spans="1:1" x14ac:dyDescent="0.2">
      <c r="A12" s="1" t="s">
        <v>91</v>
      </c>
    </row>
    <row r="13" spans="1:1" x14ac:dyDescent="0.2">
      <c r="A13" s="1"/>
    </row>
    <row r="14" spans="1:1" x14ac:dyDescent="0.2">
      <c r="A14" s="10" t="s">
        <v>92</v>
      </c>
    </row>
    <row r="15" spans="1:1" x14ac:dyDescent="0.2">
      <c r="A15" s="1" t="s">
        <v>145</v>
      </c>
    </row>
    <row r="16" spans="1:1" x14ac:dyDescent="0.2">
      <c r="A16" s="1" t="s">
        <v>89</v>
      </c>
    </row>
    <row r="17" spans="1:1" x14ac:dyDescent="0.2">
      <c r="A17" s="1" t="s">
        <v>90</v>
      </c>
    </row>
    <row r="18" spans="1:1" x14ac:dyDescent="0.2">
      <c r="A18" s="1" t="s">
        <v>14</v>
      </c>
    </row>
    <row r="19" spans="1:1" x14ac:dyDescent="0.2">
      <c r="A19" s="1" t="s">
        <v>93</v>
      </c>
    </row>
    <row r="20" spans="1:1" x14ac:dyDescent="0.2">
      <c r="A20" s="1"/>
    </row>
    <row r="21" spans="1:1" x14ac:dyDescent="0.2">
      <c r="A21" s="10" t="s">
        <v>98</v>
      </c>
    </row>
    <row r="22" spans="1:1" x14ac:dyDescent="0.2">
      <c r="A22" s="1" t="s">
        <v>94</v>
      </c>
    </row>
    <row r="23" spans="1:1" x14ac:dyDescent="0.2">
      <c r="A23" s="1" t="s">
        <v>95</v>
      </c>
    </row>
    <row r="24" spans="1:1" x14ac:dyDescent="0.2">
      <c r="A24" s="1" t="s">
        <v>96</v>
      </c>
    </row>
    <row r="25" spans="1:1" x14ac:dyDescent="0.2">
      <c r="A25" s="1"/>
    </row>
    <row r="26" spans="1:1" x14ac:dyDescent="0.2">
      <c r="A26" s="10" t="s">
        <v>143</v>
      </c>
    </row>
    <row r="27" spans="1:1" x14ac:dyDescent="0.2">
      <c r="A27" s="9" t="s">
        <v>142</v>
      </c>
    </row>
    <row r="29" spans="1:1" x14ac:dyDescent="0.2">
      <c r="A29" s="6" t="s">
        <v>146</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42"/>
  <sheetViews>
    <sheetView topLeftCell="A111" zoomScale="107" zoomScaleNormal="140" workbookViewId="0">
      <selection activeCell="E138" sqref="E138"/>
    </sheetView>
  </sheetViews>
  <sheetFormatPr baseColWidth="10" defaultColWidth="8.83203125" defaultRowHeight="15" x14ac:dyDescent="0.2"/>
  <cols>
    <col min="1" max="1" width="59" customWidth="1"/>
    <col min="2" max="3" width="11.5" bestFit="1" customWidth="1"/>
    <col min="4" max="4" width="11.6640625" bestFit="1" customWidth="1"/>
    <col min="5" max="5" width="10.1640625" bestFit="1" customWidth="1"/>
  </cols>
  <sheetData>
    <row r="1" spans="1:10" ht="60" customHeight="1" x14ac:dyDescent="0.2">
      <c r="A1" s="5" t="s">
        <v>0</v>
      </c>
      <c r="B1" s="3" t="s">
        <v>2</v>
      </c>
      <c r="C1" s="3"/>
      <c r="D1" s="3"/>
      <c r="E1" s="3"/>
      <c r="F1" s="3"/>
      <c r="G1" s="3"/>
      <c r="H1" s="3"/>
      <c r="I1" s="3"/>
      <c r="J1" s="3"/>
    </row>
    <row r="2" spans="1:10" x14ac:dyDescent="0.2">
      <c r="A2" s="32" t="s">
        <v>1</v>
      </c>
      <c r="B2" s="32"/>
      <c r="C2" s="32"/>
      <c r="D2" s="32"/>
    </row>
    <row r="3" spans="1:10" x14ac:dyDescent="0.2">
      <c r="B3" s="31" t="s">
        <v>23</v>
      </c>
      <c r="C3" s="31"/>
      <c r="D3" s="31"/>
    </row>
    <row r="4" spans="1:10" x14ac:dyDescent="0.2">
      <c r="B4" s="6">
        <v>2022</v>
      </c>
      <c r="C4" s="6">
        <v>2021</v>
      </c>
      <c r="D4" s="6">
        <v>2020</v>
      </c>
    </row>
    <row r="5" spans="1:10" x14ac:dyDescent="0.2">
      <c r="A5" t="s">
        <v>3</v>
      </c>
    </row>
    <row r="6" spans="1:10" x14ac:dyDescent="0.2">
      <c r="A6" s="1" t="s">
        <v>4</v>
      </c>
      <c r="B6" s="16">
        <v>316199</v>
      </c>
      <c r="C6" s="16">
        <v>297392</v>
      </c>
      <c r="D6" s="16">
        <v>220747</v>
      </c>
    </row>
    <row r="7" spans="1:10" x14ac:dyDescent="0.2">
      <c r="A7" s="1" t="s">
        <v>5</v>
      </c>
      <c r="B7" s="16">
        <v>78129</v>
      </c>
      <c r="C7" s="16">
        <v>68425</v>
      </c>
      <c r="D7" s="16">
        <v>53768</v>
      </c>
    </row>
    <row r="8" spans="1:10" x14ac:dyDescent="0.2">
      <c r="A8" s="21" t="s">
        <v>6</v>
      </c>
      <c r="B8" s="22">
        <f>+B6+B7</f>
        <v>394328</v>
      </c>
      <c r="C8" s="22">
        <f t="shared" ref="C8:D8" si="0">+C6+C7</f>
        <v>365817</v>
      </c>
      <c r="D8" s="22">
        <f t="shared" si="0"/>
        <v>274515</v>
      </c>
    </row>
    <row r="9" spans="1:10" x14ac:dyDescent="0.2">
      <c r="A9" t="s">
        <v>7</v>
      </c>
      <c r="B9" s="16"/>
      <c r="C9" s="16"/>
      <c r="D9" s="16"/>
    </row>
    <row r="10" spans="1:10" x14ac:dyDescent="0.2">
      <c r="A10" s="1" t="s">
        <v>4</v>
      </c>
      <c r="B10" s="16">
        <v>201471</v>
      </c>
      <c r="C10" s="16">
        <v>192266</v>
      </c>
      <c r="D10" s="16">
        <v>151286</v>
      </c>
    </row>
    <row r="11" spans="1:10" x14ac:dyDescent="0.2">
      <c r="A11" s="1" t="s">
        <v>5</v>
      </c>
      <c r="B11" s="16">
        <v>22075</v>
      </c>
      <c r="C11" s="16">
        <v>20715</v>
      </c>
      <c r="D11" s="16">
        <v>18273</v>
      </c>
    </row>
    <row r="12" spans="1:10" x14ac:dyDescent="0.2">
      <c r="A12" s="21" t="s">
        <v>8</v>
      </c>
      <c r="B12" s="22">
        <f>+B10+B11</f>
        <v>223546</v>
      </c>
      <c r="C12" s="22">
        <f t="shared" ref="C12:D12" si="1">+C10+C11</f>
        <v>212981</v>
      </c>
      <c r="D12" s="22">
        <f t="shared" si="1"/>
        <v>169559</v>
      </c>
    </row>
    <row r="13" spans="1:10" x14ac:dyDescent="0.2">
      <c r="A13" s="21" t="s">
        <v>9</v>
      </c>
      <c r="B13" s="22">
        <f>+B8-B12</f>
        <v>170782</v>
      </c>
      <c r="C13" s="22">
        <f t="shared" ref="C13:D13" si="2">+C8-C12</f>
        <v>152836</v>
      </c>
      <c r="D13" s="22">
        <f t="shared" si="2"/>
        <v>104956</v>
      </c>
    </row>
    <row r="14" spans="1:10" x14ac:dyDescent="0.2">
      <c r="A14" t="s">
        <v>10</v>
      </c>
      <c r="B14" s="16"/>
      <c r="C14" s="16"/>
      <c r="D14" s="16"/>
    </row>
    <row r="15" spans="1:10" x14ac:dyDescent="0.2">
      <c r="A15" s="1" t="s">
        <v>11</v>
      </c>
      <c r="B15" s="16">
        <v>26251</v>
      </c>
      <c r="C15" s="16">
        <v>21914</v>
      </c>
      <c r="D15" s="16">
        <v>18752</v>
      </c>
    </row>
    <row r="16" spans="1:10" x14ac:dyDescent="0.2">
      <c r="A16" s="1" t="s">
        <v>12</v>
      </c>
      <c r="B16" s="16">
        <v>25094</v>
      </c>
      <c r="C16" s="16">
        <v>21973</v>
      </c>
      <c r="D16" s="16">
        <v>19916</v>
      </c>
    </row>
    <row r="17" spans="1:5" x14ac:dyDescent="0.2">
      <c r="A17" s="21" t="s">
        <v>13</v>
      </c>
      <c r="B17" s="22">
        <f>+B15+B16</f>
        <v>51345</v>
      </c>
      <c r="C17" s="22">
        <f t="shared" ref="C17" si="3">+C15+C16</f>
        <v>43887</v>
      </c>
      <c r="D17" s="22">
        <f t="shared" ref="D17" si="4">+D15+D16</f>
        <v>38668</v>
      </c>
    </row>
    <row r="18" spans="1:5" s="6" customFormat="1" x14ac:dyDescent="0.2">
      <c r="A18" s="21" t="s">
        <v>14</v>
      </c>
      <c r="B18" s="22">
        <f>+B13-B17</f>
        <v>119437</v>
      </c>
      <c r="C18" s="22">
        <f t="shared" ref="C18:D18" si="5">+C13-C17</f>
        <v>108949</v>
      </c>
      <c r="D18" s="22">
        <f t="shared" si="5"/>
        <v>66288</v>
      </c>
      <c r="E18" t="s">
        <v>176</v>
      </c>
    </row>
    <row r="19" spans="1:5" x14ac:dyDescent="0.2">
      <c r="A19" t="s">
        <v>15</v>
      </c>
      <c r="B19" s="16">
        <v>-334</v>
      </c>
      <c r="C19" s="16">
        <v>258</v>
      </c>
      <c r="D19" s="16">
        <v>803</v>
      </c>
    </row>
    <row r="20" spans="1:5" x14ac:dyDescent="0.2">
      <c r="A20" s="21" t="s">
        <v>16</v>
      </c>
      <c r="B20" s="22">
        <f>+B18+B19</f>
        <v>119103</v>
      </c>
      <c r="C20" s="22">
        <f t="shared" ref="C20:D20" si="6">+C18+C19</f>
        <v>109207</v>
      </c>
      <c r="D20" s="22">
        <f t="shared" si="6"/>
        <v>67091</v>
      </c>
    </row>
    <row r="21" spans="1:5" x14ac:dyDescent="0.2">
      <c r="A21" t="s">
        <v>17</v>
      </c>
      <c r="B21" s="16">
        <v>19300</v>
      </c>
      <c r="C21" s="16">
        <v>14527</v>
      </c>
      <c r="D21" s="16">
        <v>9680</v>
      </c>
    </row>
    <row r="22" spans="1:5" ht="16" thickBot="1" x14ac:dyDescent="0.25">
      <c r="A22" s="20" t="s">
        <v>18</v>
      </c>
      <c r="B22" s="23">
        <f>+B20-B21</f>
        <v>99803</v>
      </c>
      <c r="C22" s="23">
        <f t="shared" ref="C22:D22" si="7">+C20-C21</f>
        <v>94680</v>
      </c>
      <c r="D22" s="23">
        <f t="shared" si="7"/>
        <v>57411</v>
      </c>
    </row>
    <row r="23" spans="1:5" ht="16" thickTop="1" x14ac:dyDescent="0.2">
      <c r="A23" t="s">
        <v>19</v>
      </c>
    </row>
    <row r="24" spans="1:5" x14ac:dyDescent="0.2">
      <c r="A24" s="1" t="s">
        <v>20</v>
      </c>
      <c r="B24">
        <v>6.15</v>
      </c>
      <c r="C24">
        <v>5.67</v>
      </c>
      <c r="D24">
        <v>3.31</v>
      </c>
    </row>
    <row r="25" spans="1:5" x14ac:dyDescent="0.2">
      <c r="A25" s="1" t="s">
        <v>21</v>
      </c>
      <c r="B25">
        <v>6.11</v>
      </c>
      <c r="C25">
        <v>5.61</v>
      </c>
      <c r="D25">
        <v>3.28</v>
      </c>
    </row>
    <row r="26" spans="1:5" x14ac:dyDescent="0.2">
      <c r="A26" t="s">
        <v>22</v>
      </c>
    </row>
    <row r="27" spans="1:5" x14ac:dyDescent="0.2">
      <c r="A27" s="1" t="s">
        <v>20</v>
      </c>
      <c r="B27" s="24">
        <v>16215963</v>
      </c>
      <c r="C27" s="24">
        <v>16701272</v>
      </c>
      <c r="D27" s="24">
        <v>17352119</v>
      </c>
    </row>
    <row r="28" spans="1:5" x14ac:dyDescent="0.2">
      <c r="A28" s="1" t="s">
        <v>21</v>
      </c>
      <c r="B28" s="24">
        <v>16325819</v>
      </c>
      <c r="C28" s="24">
        <v>16864919</v>
      </c>
      <c r="D28" s="24">
        <v>17528214</v>
      </c>
    </row>
    <row r="31" spans="1:5" x14ac:dyDescent="0.2">
      <c r="A31" s="31" t="s">
        <v>24</v>
      </c>
      <c r="B31" s="31"/>
      <c r="C31" s="31"/>
      <c r="D31" s="31"/>
    </row>
    <row r="32" spans="1:5" x14ac:dyDescent="0.2">
      <c r="B32" s="31" t="s">
        <v>141</v>
      </c>
      <c r="C32" s="31"/>
      <c r="D32" s="31"/>
    </row>
    <row r="33" spans="1:6" x14ac:dyDescent="0.2">
      <c r="B33" s="6">
        <f>+B4</f>
        <v>2022</v>
      </c>
      <c r="C33" s="6">
        <f t="shared" ref="C33:D33" si="8">+C4</f>
        <v>2021</v>
      </c>
      <c r="D33" s="6">
        <f t="shared" si="8"/>
        <v>2020</v>
      </c>
    </row>
    <row r="35" spans="1:6" x14ac:dyDescent="0.2">
      <c r="A35" t="s">
        <v>25</v>
      </c>
    </row>
    <row r="36" spans="1:6" x14ac:dyDescent="0.2">
      <c r="A36" s="1" t="s">
        <v>26</v>
      </c>
      <c r="B36" s="16">
        <v>23646</v>
      </c>
      <c r="C36" s="16">
        <v>34940</v>
      </c>
      <c r="D36" s="16">
        <v>38016</v>
      </c>
    </row>
    <row r="37" spans="1:6" x14ac:dyDescent="0.2">
      <c r="A37" s="1" t="s">
        <v>27</v>
      </c>
      <c r="B37" s="16">
        <v>24658</v>
      </c>
      <c r="C37" s="16">
        <v>27699</v>
      </c>
      <c r="D37" s="16">
        <v>52927</v>
      </c>
    </row>
    <row r="38" spans="1:6" x14ac:dyDescent="0.2">
      <c r="A38" s="1" t="s">
        <v>28</v>
      </c>
      <c r="B38" s="16">
        <v>28184</v>
      </c>
      <c r="C38" s="16">
        <v>26278</v>
      </c>
      <c r="D38" s="16">
        <v>16120</v>
      </c>
      <c r="F38" s="14"/>
    </row>
    <row r="39" spans="1:6" x14ac:dyDescent="0.2">
      <c r="A39" s="1" t="s">
        <v>29</v>
      </c>
      <c r="B39" s="16">
        <v>4946</v>
      </c>
      <c r="C39" s="16">
        <v>6580</v>
      </c>
      <c r="D39" s="16">
        <v>4061</v>
      </c>
      <c r="F39" s="14"/>
    </row>
    <row r="40" spans="1:6" x14ac:dyDescent="0.2">
      <c r="A40" s="1" t="s">
        <v>47</v>
      </c>
      <c r="B40" s="16">
        <v>32748</v>
      </c>
      <c r="C40" s="16">
        <v>25228</v>
      </c>
      <c r="D40" s="16">
        <v>21325</v>
      </c>
    </row>
    <row r="41" spans="1:6" x14ac:dyDescent="0.2">
      <c r="A41" s="1" t="s">
        <v>30</v>
      </c>
      <c r="B41" s="16">
        <v>21223</v>
      </c>
      <c r="C41" s="16">
        <v>14111</v>
      </c>
      <c r="D41" s="16">
        <v>11264</v>
      </c>
    </row>
    <row r="42" spans="1:6" x14ac:dyDescent="0.2">
      <c r="A42" s="21" t="s">
        <v>31</v>
      </c>
      <c r="B42" s="22">
        <f>+SUM(B36:B41)</f>
        <v>135405</v>
      </c>
      <c r="C42" s="22">
        <f t="shared" ref="C42:D42" si="9">+SUM(C36:C41)</f>
        <v>134836</v>
      </c>
      <c r="D42" s="22">
        <f t="shared" si="9"/>
        <v>143713</v>
      </c>
    </row>
    <row r="43" spans="1:6" x14ac:dyDescent="0.2">
      <c r="A43" t="s">
        <v>48</v>
      </c>
      <c r="B43" s="16"/>
      <c r="C43" s="16"/>
      <c r="D43" s="16"/>
    </row>
    <row r="44" spans="1:6" x14ac:dyDescent="0.2">
      <c r="A44" s="1" t="s">
        <v>27</v>
      </c>
      <c r="B44" s="16">
        <v>120805</v>
      </c>
      <c r="C44" s="16">
        <v>127877</v>
      </c>
      <c r="D44" s="16">
        <v>100887</v>
      </c>
    </row>
    <row r="45" spans="1:6" x14ac:dyDescent="0.2">
      <c r="A45" s="1" t="s">
        <v>32</v>
      </c>
      <c r="B45" s="16">
        <v>42117</v>
      </c>
      <c r="C45" s="16">
        <v>39440</v>
      </c>
      <c r="D45" s="16">
        <v>36766</v>
      </c>
    </row>
    <row r="46" spans="1:6" x14ac:dyDescent="0.2">
      <c r="A46" s="1" t="s">
        <v>49</v>
      </c>
      <c r="B46" s="16">
        <v>54428</v>
      </c>
      <c r="C46" s="16">
        <v>48849</v>
      </c>
      <c r="D46" s="16">
        <v>42522</v>
      </c>
    </row>
    <row r="47" spans="1:6" x14ac:dyDescent="0.2">
      <c r="A47" s="21" t="s">
        <v>50</v>
      </c>
      <c r="B47" s="22">
        <f>+SUM(B44:B46)</f>
        <v>217350</v>
      </c>
      <c r="C47" s="22">
        <f t="shared" ref="C47:D47" si="10">+SUM(C44:C46)</f>
        <v>216166</v>
      </c>
      <c r="D47" s="22">
        <f t="shared" si="10"/>
        <v>180175</v>
      </c>
    </row>
    <row r="48" spans="1:6" ht="16" thickBot="1" x14ac:dyDescent="0.25">
      <c r="A48" s="20" t="s">
        <v>33</v>
      </c>
      <c r="B48" s="23">
        <f>+B42+B47</f>
        <v>352755</v>
      </c>
      <c r="C48" s="23">
        <f t="shared" ref="C48:D48" si="11">+C42+C47</f>
        <v>351002</v>
      </c>
      <c r="D48" s="23">
        <f t="shared" si="11"/>
        <v>323888</v>
      </c>
    </row>
    <row r="49" spans="1:4" ht="16" thickTop="1" x14ac:dyDescent="0.2"/>
    <row r="50" spans="1:4" x14ac:dyDescent="0.2">
      <c r="A50" t="s">
        <v>34</v>
      </c>
    </row>
    <row r="51" spans="1:4" x14ac:dyDescent="0.2">
      <c r="A51" s="1" t="s">
        <v>35</v>
      </c>
      <c r="B51" s="16">
        <v>64115</v>
      </c>
      <c r="C51" s="16">
        <v>54763</v>
      </c>
      <c r="D51" s="16">
        <v>42296</v>
      </c>
    </row>
    <row r="52" spans="1:4" x14ac:dyDescent="0.2">
      <c r="A52" s="1" t="s">
        <v>36</v>
      </c>
      <c r="B52" s="16">
        <v>60845</v>
      </c>
      <c r="C52" s="16">
        <v>47493</v>
      </c>
      <c r="D52" s="16">
        <v>42684</v>
      </c>
    </row>
    <row r="53" spans="1:4" x14ac:dyDescent="0.2">
      <c r="A53" s="1" t="s">
        <v>37</v>
      </c>
      <c r="B53" s="16">
        <v>7912</v>
      </c>
      <c r="C53" s="16">
        <v>7612</v>
      </c>
      <c r="D53" s="16">
        <v>6643</v>
      </c>
    </row>
    <row r="54" spans="1:4" x14ac:dyDescent="0.2">
      <c r="A54" s="1" t="s">
        <v>38</v>
      </c>
      <c r="B54" s="16">
        <v>9982</v>
      </c>
      <c r="C54" s="16">
        <v>6000</v>
      </c>
      <c r="D54" s="16">
        <v>4996</v>
      </c>
    </row>
    <row r="55" spans="1:4" x14ac:dyDescent="0.2">
      <c r="A55" s="1" t="s">
        <v>39</v>
      </c>
      <c r="B55" s="16">
        <v>11128</v>
      </c>
      <c r="C55" s="16">
        <v>9613</v>
      </c>
      <c r="D55" s="16">
        <v>8773</v>
      </c>
    </row>
    <row r="56" spans="1:4" x14ac:dyDescent="0.2">
      <c r="A56" s="21" t="s">
        <v>40</v>
      </c>
      <c r="B56" s="22">
        <f>+SUM(B51:B55)</f>
        <v>153982</v>
      </c>
      <c r="C56" s="22">
        <f t="shared" ref="C56:D56" si="12">+SUM(C51:C55)</f>
        <v>125481</v>
      </c>
      <c r="D56" s="22">
        <f t="shared" si="12"/>
        <v>105392</v>
      </c>
    </row>
    <row r="57" spans="1:4" x14ac:dyDescent="0.2">
      <c r="A57" t="s">
        <v>51</v>
      </c>
      <c r="B57" s="16"/>
      <c r="C57" s="16"/>
      <c r="D57" s="16"/>
    </row>
    <row r="58" spans="1:4" x14ac:dyDescent="0.2">
      <c r="A58" s="1" t="s">
        <v>37</v>
      </c>
      <c r="B58" s="16"/>
      <c r="C58" s="16"/>
      <c r="D58" s="16"/>
    </row>
    <row r="59" spans="1:4" x14ac:dyDescent="0.2">
      <c r="A59" s="1" t="s">
        <v>39</v>
      </c>
      <c r="B59" s="16">
        <v>98959</v>
      </c>
      <c r="C59" s="16">
        <v>109106</v>
      </c>
      <c r="D59" s="16">
        <v>98667</v>
      </c>
    </row>
    <row r="60" spans="1:4" x14ac:dyDescent="0.2">
      <c r="A60" s="1" t="s">
        <v>52</v>
      </c>
      <c r="B60" s="16">
        <v>49142</v>
      </c>
      <c r="C60" s="16">
        <v>53325</v>
      </c>
      <c r="D60" s="16">
        <v>54490</v>
      </c>
    </row>
    <row r="61" spans="1:4" x14ac:dyDescent="0.2">
      <c r="A61" s="25" t="s">
        <v>53</v>
      </c>
      <c r="B61" s="26">
        <f>+B59+B60</f>
        <v>148101</v>
      </c>
      <c r="C61" s="26">
        <f t="shared" ref="C61:D61" si="13">+C59+C60</f>
        <v>162431</v>
      </c>
      <c r="D61" s="26">
        <f t="shared" si="13"/>
        <v>153157</v>
      </c>
    </row>
    <row r="62" spans="1:4" x14ac:dyDescent="0.2">
      <c r="A62" s="21" t="s">
        <v>41</v>
      </c>
      <c r="B62" s="22">
        <f>+B56+B61</f>
        <v>302083</v>
      </c>
      <c r="C62" s="22">
        <f t="shared" ref="C62:D62" si="14">+C56+C61</f>
        <v>287912</v>
      </c>
      <c r="D62" s="22">
        <f t="shared" si="14"/>
        <v>258549</v>
      </c>
    </row>
    <row r="63" spans="1:4" x14ac:dyDescent="0.2">
      <c r="B63" s="16"/>
      <c r="C63" s="16"/>
      <c r="D63" s="16"/>
    </row>
    <row r="64" spans="1:4" x14ac:dyDescent="0.2">
      <c r="A64" t="s">
        <v>42</v>
      </c>
      <c r="B64" s="16"/>
      <c r="C64" s="16"/>
      <c r="D64" s="16"/>
    </row>
    <row r="65" spans="1:6" x14ac:dyDescent="0.2">
      <c r="A65" s="1" t="s">
        <v>54</v>
      </c>
      <c r="B65" s="16">
        <v>64849</v>
      </c>
      <c r="C65" s="16">
        <v>57365</v>
      </c>
      <c r="D65" s="16">
        <v>50779</v>
      </c>
    </row>
    <row r="66" spans="1:6" x14ac:dyDescent="0.2">
      <c r="A66" s="1" t="s">
        <v>43</v>
      </c>
      <c r="B66" s="16">
        <v>-3068</v>
      </c>
      <c r="C66" s="16">
        <v>5562</v>
      </c>
      <c r="D66" s="16">
        <v>14966</v>
      </c>
    </row>
    <row r="67" spans="1:6" x14ac:dyDescent="0.2">
      <c r="A67" s="1" t="s">
        <v>44</v>
      </c>
      <c r="B67" s="16">
        <v>-11109</v>
      </c>
      <c r="C67" s="16">
        <v>163</v>
      </c>
      <c r="D67" s="16">
        <v>-406</v>
      </c>
    </row>
    <row r="68" spans="1:6" x14ac:dyDescent="0.2">
      <c r="A68" s="21" t="s">
        <v>45</v>
      </c>
      <c r="B68" s="22">
        <f>+SUM(B65:B67)</f>
        <v>50672</v>
      </c>
      <c r="C68" s="22">
        <f t="shared" ref="C68:D68" si="15">+SUM(C65:C67)</f>
        <v>63090</v>
      </c>
      <c r="D68" s="22">
        <f t="shared" si="15"/>
        <v>65339</v>
      </c>
    </row>
    <row r="69" spans="1:6" ht="16" thickBot="1" x14ac:dyDescent="0.25">
      <c r="A69" s="20" t="s">
        <v>46</v>
      </c>
      <c r="B69" s="23">
        <f>+B68+B62</f>
        <v>352755</v>
      </c>
      <c r="C69" s="23">
        <f t="shared" ref="C69:D69" si="16">+C68+C62</f>
        <v>351002</v>
      </c>
      <c r="D69" s="23">
        <f t="shared" si="16"/>
        <v>323888</v>
      </c>
    </row>
    <row r="70" spans="1:6" ht="16" thickTop="1" x14ac:dyDescent="0.2"/>
    <row r="71" spans="1:6" x14ac:dyDescent="0.2">
      <c r="A71" s="31" t="s">
        <v>55</v>
      </c>
      <c r="B71" s="31"/>
      <c r="C71" s="31"/>
      <c r="D71" s="31"/>
    </row>
    <row r="72" spans="1:6" x14ac:dyDescent="0.2">
      <c r="B72" s="31" t="s">
        <v>23</v>
      </c>
      <c r="C72" s="31"/>
      <c r="D72" s="31"/>
    </row>
    <row r="73" spans="1:6" x14ac:dyDescent="0.2">
      <c r="B73" s="6">
        <f>+B33</f>
        <v>2022</v>
      </c>
      <c r="C73" s="6">
        <f t="shared" ref="C73:D73" si="17">+C33</f>
        <v>2021</v>
      </c>
      <c r="D73" s="6">
        <f t="shared" si="17"/>
        <v>2020</v>
      </c>
    </row>
    <row r="75" spans="1:6" x14ac:dyDescent="0.2">
      <c r="A75" s="6" t="s">
        <v>56</v>
      </c>
      <c r="B75" s="27"/>
      <c r="C75" s="27"/>
      <c r="D75" s="27"/>
    </row>
    <row r="76" spans="1:6" x14ac:dyDescent="0.2">
      <c r="A76" t="s">
        <v>57</v>
      </c>
      <c r="B76" s="16">
        <f>+B22</f>
        <v>99803</v>
      </c>
      <c r="C76" s="16">
        <f t="shared" ref="C76:D76" si="18">+C22</f>
        <v>94680</v>
      </c>
      <c r="D76" s="16">
        <f t="shared" si="18"/>
        <v>57411</v>
      </c>
    </row>
    <row r="77" spans="1:6" x14ac:dyDescent="0.2">
      <c r="A77" s="7" t="s">
        <v>18</v>
      </c>
      <c r="B77" s="16">
        <f>B22</f>
        <v>99803</v>
      </c>
      <c r="C77" s="16">
        <f t="shared" ref="C77:D77" si="19">C22</f>
        <v>94680</v>
      </c>
      <c r="D77" s="16">
        <f t="shared" si="19"/>
        <v>57411</v>
      </c>
    </row>
    <row r="78" spans="1:6" x14ac:dyDescent="0.2">
      <c r="A78" s="1" t="s">
        <v>58</v>
      </c>
      <c r="B78" s="16"/>
      <c r="C78" s="16"/>
      <c r="D78" s="16"/>
    </row>
    <row r="79" spans="1:6" x14ac:dyDescent="0.2">
      <c r="A79" s="2" t="s">
        <v>59</v>
      </c>
      <c r="B79" s="16">
        <v>11104</v>
      </c>
      <c r="C79" s="16">
        <v>11284</v>
      </c>
      <c r="D79" s="16">
        <v>11056</v>
      </c>
      <c r="E79" s="14"/>
      <c r="F79" s="15"/>
    </row>
    <row r="80" spans="1:6" x14ac:dyDescent="0.2">
      <c r="A80" s="2" t="s">
        <v>83</v>
      </c>
      <c r="B80" s="16">
        <v>9038</v>
      </c>
      <c r="C80" s="16">
        <v>7906</v>
      </c>
      <c r="D80" s="16">
        <v>6829</v>
      </c>
    </row>
    <row r="81" spans="1:5" x14ac:dyDescent="0.2">
      <c r="A81" s="2" t="s">
        <v>60</v>
      </c>
      <c r="B81" s="16">
        <v>895</v>
      </c>
      <c r="C81" s="16">
        <v>-4774</v>
      </c>
      <c r="D81" s="16">
        <v>-215</v>
      </c>
    </row>
    <row r="82" spans="1:5" x14ac:dyDescent="0.2">
      <c r="A82" s="2" t="s">
        <v>61</v>
      </c>
      <c r="B82" s="16">
        <v>111</v>
      </c>
      <c r="C82" s="16">
        <v>-147</v>
      </c>
      <c r="D82" s="16">
        <v>-97</v>
      </c>
    </row>
    <row r="83" spans="1:5" x14ac:dyDescent="0.2">
      <c r="A83" t="s">
        <v>62</v>
      </c>
      <c r="B83" s="16"/>
      <c r="C83" s="16"/>
      <c r="D83" s="16"/>
    </row>
    <row r="84" spans="1:5" x14ac:dyDescent="0.2">
      <c r="A84" s="1" t="s">
        <v>28</v>
      </c>
      <c r="B84" s="16">
        <v>-1823</v>
      </c>
      <c r="C84" s="16">
        <v>-10125</v>
      </c>
      <c r="D84" s="16">
        <v>6917</v>
      </c>
    </row>
    <row r="85" spans="1:5" x14ac:dyDescent="0.2">
      <c r="A85" s="1" t="s">
        <v>29</v>
      </c>
      <c r="B85" s="16">
        <v>1484</v>
      </c>
      <c r="C85" s="16">
        <v>-2642</v>
      </c>
      <c r="D85" s="16">
        <v>-127</v>
      </c>
    </row>
    <row r="86" spans="1:5" x14ac:dyDescent="0.2">
      <c r="A86" s="1" t="s">
        <v>47</v>
      </c>
      <c r="B86" s="16">
        <v>-7520</v>
      </c>
      <c r="C86" s="16">
        <v>-3903</v>
      </c>
      <c r="D86" s="16">
        <v>1553</v>
      </c>
    </row>
    <row r="87" spans="1:5" x14ac:dyDescent="0.2">
      <c r="A87" s="1" t="s">
        <v>84</v>
      </c>
      <c r="B87" s="16">
        <v>-6499</v>
      </c>
      <c r="C87" s="16">
        <v>-8042</v>
      </c>
      <c r="D87" s="16">
        <v>-9588</v>
      </c>
    </row>
    <row r="88" spans="1:5" x14ac:dyDescent="0.2">
      <c r="A88" s="1" t="s">
        <v>35</v>
      </c>
      <c r="B88" s="16">
        <v>9448</v>
      </c>
      <c r="C88" s="16">
        <v>12326</v>
      </c>
      <c r="D88" s="16">
        <v>-4062</v>
      </c>
    </row>
    <row r="89" spans="1:5" x14ac:dyDescent="0.2">
      <c r="A89" s="1" t="s">
        <v>37</v>
      </c>
      <c r="B89" s="16">
        <v>478</v>
      </c>
      <c r="C89" s="16">
        <v>1676</v>
      </c>
      <c r="D89" s="16">
        <v>2081</v>
      </c>
    </row>
    <row r="90" spans="1:5" x14ac:dyDescent="0.2">
      <c r="A90" s="1" t="s">
        <v>85</v>
      </c>
      <c r="B90" s="16">
        <v>5632</v>
      </c>
      <c r="C90" s="16">
        <v>5799</v>
      </c>
      <c r="D90" s="16">
        <v>8916</v>
      </c>
    </row>
    <row r="91" spans="1:5" x14ac:dyDescent="0.2">
      <c r="A91" s="21" t="s">
        <v>63</v>
      </c>
      <c r="B91" s="22">
        <f>+SUM(B76:B90)</f>
        <v>221954</v>
      </c>
      <c r="C91" s="22">
        <f t="shared" ref="C91:D91" si="20">+SUM(C76:C90)</f>
        <v>198718</v>
      </c>
      <c r="D91" s="22">
        <f t="shared" si="20"/>
        <v>138085</v>
      </c>
    </row>
    <row r="92" spans="1:5" x14ac:dyDescent="0.2">
      <c r="A92" s="6" t="s">
        <v>64</v>
      </c>
      <c r="B92" s="16"/>
      <c r="C92" s="16"/>
      <c r="D92" s="16"/>
    </row>
    <row r="93" spans="1:5" x14ac:dyDescent="0.2">
      <c r="A93" s="1" t="s">
        <v>65</v>
      </c>
      <c r="B93" s="16">
        <v>-76923</v>
      </c>
      <c r="C93" s="16">
        <v>-109558</v>
      </c>
      <c r="D93" s="16">
        <v>-114938</v>
      </c>
    </row>
    <row r="94" spans="1:5" x14ac:dyDescent="0.2">
      <c r="A94" s="1" t="s">
        <v>66</v>
      </c>
      <c r="B94" s="16">
        <v>29917</v>
      </c>
      <c r="C94" s="16">
        <v>59023</v>
      </c>
      <c r="D94" s="16">
        <v>69918</v>
      </c>
    </row>
    <row r="95" spans="1:5" x14ac:dyDescent="0.2">
      <c r="A95" s="1" t="s">
        <v>67</v>
      </c>
      <c r="B95" s="16">
        <v>37446</v>
      </c>
      <c r="C95" s="16">
        <v>47460</v>
      </c>
      <c r="D95" s="16">
        <v>50473</v>
      </c>
    </row>
    <row r="96" spans="1:5" x14ac:dyDescent="0.2">
      <c r="A96" s="1" t="s">
        <v>68</v>
      </c>
      <c r="B96" s="16">
        <v>-10708</v>
      </c>
      <c r="C96" s="16">
        <v>-11085</v>
      </c>
      <c r="D96" s="16">
        <v>-7309</v>
      </c>
      <c r="E96" s="8">
        <v>10708</v>
      </c>
    </row>
    <row r="97" spans="1:4" x14ac:dyDescent="0.2">
      <c r="A97" s="1" t="s">
        <v>69</v>
      </c>
      <c r="B97" s="16">
        <v>-306</v>
      </c>
      <c r="C97" s="16">
        <v>-33</v>
      </c>
      <c r="D97" s="16">
        <v>-1524</v>
      </c>
    </row>
    <row r="98" spans="1:4" x14ac:dyDescent="0.2">
      <c r="A98" s="1" t="s">
        <v>61</v>
      </c>
      <c r="B98" s="16">
        <v>-1780</v>
      </c>
      <c r="C98" s="16">
        <v>-352</v>
      </c>
      <c r="D98" s="16">
        <v>-909</v>
      </c>
    </row>
    <row r="99" spans="1:4" x14ac:dyDescent="0.2">
      <c r="A99" s="21" t="s">
        <v>70</v>
      </c>
      <c r="B99" s="22">
        <f>+SUM(B93:B98)</f>
        <v>-22354</v>
      </c>
      <c r="C99" s="22">
        <f t="shared" ref="C99:D99" si="21">+SUM(C93:C98)</f>
        <v>-14545</v>
      </c>
      <c r="D99" s="22">
        <f t="shared" si="21"/>
        <v>-4289</v>
      </c>
    </row>
    <row r="100" spans="1:4" x14ac:dyDescent="0.2">
      <c r="A100" s="6" t="s">
        <v>71</v>
      </c>
      <c r="B100" s="16"/>
      <c r="C100" s="16"/>
      <c r="D100" s="16"/>
    </row>
    <row r="101" spans="1:4" x14ac:dyDescent="0.2">
      <c r="A101" s="1" t="s">
        <v>86</v>
      </c>
      <c r="B101" s="16">
        <v>-6223</v>
      </c>
      <c r="C101" s="16">
        <v>-6556</v>
      </c>
      <c r="D101" s="16">
        <v>-3634</v>
      </c>
    </row>
    <row r="102" spans="1:4" x14ac:dyDescent="0.2">
      <c r="A102" s="1" t="s">
        <v>72</v>
      </c>
      <c r="B102" s="30">
        <v>-14841</v>
      </c>
      <c r="C102" s="30">
        <v>-14467</v>
      </c>
      <c r="D102" s="30">
        <v>-14081</v>
      </c>
    </row>
    <row r="103" spans="1:4" x14ac:dyDescent="0.2">
      <c r="A103" s="1" t="s">
        <v>73</v>
      </c>
      <c r="B103" s="16">
        <v>-89402</v>
      </c>
      <c r="C103" s="16">
        <v>-85971</v>
      </c>
      <c r="D103" s="16">
        <v>-72358</v>
      </c>
    </row>
    <row r="104" spans="1:4" x14ac:dyDescent="0.2">
      <c r="A104" s="1" t="s">
        <v>74</v>
      </c>
      <c r="B104" s="16">
        <v>5465</v>
      </c>
      <c r="C104" s="16">
        <v>20393</v>
      </c>
      <c r="D104" s="16">
        <v>16091</v>
      </c>
    </row>
    <row r="105" spans="1:4" x14ac:dyDescent="0.2">
      <c r="A105" s="1" t="s">
        <v>75</v>
      </c>
      <c r="B105" s="16">
        <v>-9543</v>
      </c>
      <c r="C105" s="16">
        <v>-8750</v>
      </c>
      <c r="D105" s="16">
        <v>-12629</v>
      </c>
    </row>
    <row r="106" spans="1:4" x14ac:dyDescent="0.2">
      <c r="A106" s="1" t="s">
        <v>76</v>
      </c>
      <c r="B106" s="16">
        <v>3955</v>
      </c>
      <c r="C106" s="16">
        <v>1022</v>
      </c>
      <c r="D106" s="16">
        <v>-963</v>
      </c>
    </row>
    <row r="107" spans="1:4" x14ac:dyDescent="0.2">
      <c r="A107" s="1" t="s">
        <v>61</v>
      </c>
      <c r="B107" s="16">
        <v>-160</v>
      </c>
      <c r="C107" s="16">
        <v>976</v>
      </c>
      <c r="D107" s="16">
        <v>754</v>
      </c>
    </row>
    <row r="108" spans="1:4" x14ac:dyDescent="0.2">
      <c r="A108" s="21" t="s">
        <v>77</v>
      </c>
      <c r="B108" s="22">
        <f>+SUM(B101:B107)</f>
        <v>-110749</v>
      </c>
      <c r="C108" s="22">
        <f t="shared" ref="C108:D108" si="22">+SUM(C101:C107)</f>
        <v>-93353</v>
      </c>
      <c r="D108" s="22">
        <f t="shared" si="22"/>
        <v>-86820</v>
      </c>
    </row>
    <row r="109" spans="1:4" x14ac:dyDescent="0.2">
      <c r="A109" s="21" t="s">
        <v>78</v>
      </c>
      <c r="B109" s="22">
        <f>+B91+B99+B108</f>
        <v>88851</v>
      </c>
      <c r="C109" s="22">
        <f t="shared" ref="C109:D109" si="23">+C91+C99+C108</f>
        <v>90820</v>
      </c>
      <c r="D109" s="22">
        <f t="shared" si="23"/>
        <v>46976</v>
      </c>
    </row>
    <row r="110" spans="1:4" ht="16" thickBot="1" x14ac:dyDescent="0.25">
      <c r="A110" s="20" t="s">
        <v>79</v>
      </c>
      <c r="B110" s="23">
        <v>24977</v>
      </c>
      <c r="C110" s="23">
        <v>35929</v>
      </c>
      <c r="D110" s="23">
        <v>39789</v>
      </c>
    </row>
    <row r="111" spans="1:4" ht="16" thickTop="1" x14ac:dyDescent="0.2">
      <c r="B111" s="16"/>
      <c r="C111" s="16"/>
      <c r="D111" s="16"/>
    </row>
    <row r="112" spans="1:4" x14ac:dyDescent="0.2">
      <c r="A112" t="s">
        <v>80</v>
      </c>
      <c r="B112" s="16"/>
      <c r="C112" s="16"/>
      <c r="D112" s="16"/>
    </row>
    <row r="113" spans="1:4" x14ac:dyDescent="0.2">
      <c r="A113" t="s">
        <v>81</v>
      </c>
      <c r="B113" s="16">
        <v>19573</v>
      </c>
      <c r="C113" s="16">
        <v>25385</v>
      </c>
      <c r="D113" s="16">
        <v>9501</v>
      </c>
    </row>
    <row r="114" spans="1:4" x14ac:dyDescent="0.2">
      <c r="A114" t="s">
        <v>82</v>
      </c>
      <c r="B114" s="8">
        <v>2865</v>
      </c>
      <c r="C114" s="8">
        <v>2687</v>
      </c>
      <c r="D114" s="8">
        <v>3002</v>
      </c>
    </row>
    <row r="115" spans="1:4" s="19" customFormat="1" x14ac:dyDescent="0.2"/>
    <row r="116" spans="1:4" x14ac:dyDescent="0.2">
      <c r="A116" t="s">
        <v>223</v>
      </c>
      <c r="B116" s="14">
        <f>(B48+C48)/2</f>
        <v>351878.5</v>
      </c>
      <c r="C116" s="14">
        <f t="shared" ref="C116:D116" si="24">(C48+D48)/2</f>
        <v>337445</v>
      </c>
      <c r="D116" s="14">
        <f t="shared" si="24"/>
        <v>161944</v>
      </c>
    </row>
    <row r="117" spans="1:4" x14ac:dyDescent="0.2">
      <c r="A117" t="s">
        <v>178</v>
      </c>
      <c r="B117" s="17">
        <f>(C45+B45)/2</f>
        <v>40778.5</v>
      </c>
      <c r="C117" s="17">
        <f t="shared" ref="C117:D117" si="25">(D45+C45)/2</f>
        <v>38103</v>
      </c>
      <c r="D117" s="17">
        <f t="shared" si="25"/>
        <v>18383</v>
      </c>
    </row>
    <row r="118" spans="1:4" x14ac:dyDescent="0.2">
      <c r="A118" t="s">
        <v>155</v>
      </c>
      <c r="B118" s="14">
        <f>(C39+B39)/2</f>
        <v>5763</v>
      </c>
      <c r="C118" s="14">
        <f t="shared" ref="C118:D118" si="26">(D39+C39)/2</f>
        <v>5320.5</v>
      </c>
      <c r="D118" s="14">
        <f t="shared" si="26"/>
        <v>2030.5</v>
      </c>
    </row>
    <row r="119" spans="1:4" x14ac:dyDescent="0.2">
      <c r="A119" t="s">
        <v>180</v>
      </c>
      <c r="B119">
        <v>180.57</v>
      </c>
      <c r="C119">
        <v>180.57</v>
      </c>
      <c r="D119">
        <v>180.57</v>
      </c>
    </row>
    <row r="120" spans="1:4" x14ac:dyDescent="0.2">
      <c r="A120" t="s">
        <v>242</v>
      </c>
      <c r="B120" s="8">
        <v>14841</v>
      </c>
      <c r="C120" s="8">
        <v>14467</v>
      </c>
      <c r="D120" s="8">
        <v>14081</v>
      </c>
    </row>
    <row r="121" spans="1:4" x14ac:dyDescent="0.2">
      <c r="A121" s="1" t="s">
        <v>181</v>
      </c>
      <c r="B121">
        <f>B22/B8</f>
        <v>0.25309640705199732</v>
      </c>
      <c r="C121">
        <f t="shared" ref="C121:D121" si="27">C22/C8</f>
        <v>0.25881793355694238</v>
      </c>
      <c r="D121">
        <f t="shared" si="27"/>
        <v>0.20913611278072236</v>
      </c>
    </row>
    <row r="122" spans="1:4" x14ac:dyDescent="0.2">
      <c r="A122" s="18" t="s">
        <v>182</v>
      </c>
      <c r="B122">
        <f>B8/B48</f>
        <v>1.1178523337727317</v>
      </c>
      <c r="C122">
        <f t="shared" ref="C122:D122" si="28">C8/C48</f>
        <v>1.0422077367080529</v>
      </c>
      <c r="D122">
        <f t="shared" si="28"/>
        <v>0.84756150274168851</v>
      </c>
    </row>
    <row r="123" spans="1:4" x14ac:dyDescent="0.2">
      <c r="A123" s="18" t="s">
        <v>183</v>
      </c>
      <c r="B123">
        <f>B48/B68</f>
        <v>6.9615369434796337</v>
      </c>
      <c r="C123">
        <f t="shared" ref="C123:D123" si="29">C48/C68</f>
        <v>5.5635124425423994</v>
      </c>
      <c r="D123">
        <f t="shared" si="29"/>
        <v>4.9570394404566951</v>
      </c>
    </row>
    <row r="124" spans="1:4" x14ac:dyDescent="0.2">
      <c r="A124" t="s">
        <v>184</v>
      </c>
      <c r="B124" s="14">
        <f>B48-B56</f>
        <v>198773</v>
      </c>
      <c r="C124" s="14">
        <f t="shared" ref="C124:D124" si="30">C48-C56</f>
        <v>225521</v>
      </c>
      <c r="D124" s="14">
        <f t="shared" si="30"/>
        <v>218496</v>
      </c>
    </row>
    <row r="125" spans="1:4" x14ac:dyDescent="0.2">
      <c r="A125" t="s">
        <v>185</v>
      </c>
      <c r="B125" s="14">
        <f>B68+B61</f>
        <v>198773</v>
      </c>
      <c r="C125" s="14">
        <f t="shared" ref="C125:D125" si="31">C68+C61</f>
        <v>225521</v>
      </c>
      <c r="D125" s="14">
        <f t="shared" si="31"/>
        <v>218496</v>
      </c>
    </row>
    <row r="126" spans="1:4" x14ac:dyDescent="0.2">
      <c r="A126" t="s">
        <v>186</v>
      </c>
      <c r="B126" s="14">
        <f>B62-B36</f>
        <v>278437</v>
      </c>
      <c r="C126" s="14">
        <f t="shared" ref="C126:D126" si="32">C62-C36</f>
        <v>252972</v>
      </c>
      <c r="D126" s="14">
        <f t="shared" si="32"/>
        <v>220533</v>
      </c>
    </row>
    <row r="127" spans="1:4" x14ac:dyDescent="0.2">
      <c r="A127" t="s">
        <v>246</v>
      </c>
      <c r="B127">
        <f>B119*B139</f>
        <v>2947953.1368299997</v>
      </c>
      <c r="C127">
        <f>C119*C139</f>
        <v>3045298.4238300002</v>
      </c>
      <c r="D127">
        <f t="shared" ref="D127" si="33">D119*D139</f>
        <v>3165069.6019799998</v>
      </c>
    </row>
    <row r="128" spans="1:4" x14ac:dyDescent="0.2">
      <c r="A128" s="1" t="s">
        <v>196</v>
      </c>
      <c r="B128" s="14">
        <f>B15-C15</f>
        <v>4337</v>
      </c>
      <c r="C128" s="14">
        <f>C15-D15</f>
        <v>3162</v>
      </c>
    </row>
    <row r="129" spans="1:4" x14ac:dyDescent="0.2">
      <c r="A129" s="1" t="s">
        <v>197</v>
      </c>
      <c r="B129" s="14">
        <f>B16-C16</f>
        <v>3121</v>
      </c>
      <c r="C129" s="14">
        <f>C16-D16</f>
        <v>2057</v>
      </c>
    </row>
    <row r="130" spans="1:4" ht="16" thickBot="1" x14ac:dyDescent="0.25">
      <c r="A130" s="20" t="s">
        <v>198</v>
      </c>
      <c r="B130" s="14">
        <f>B48-C48</f>
        <v>1753</v>
      </c>
      <c r="C130" s="14">
        <f>C48-D48</f>
        <v>27114</v>
      </c>
    </row>
    <row r="131" spans="1:4" ht="16" thickTop="1" x14ac:dyDescent="0.2">
      <c r="A131" s="21" t="s">
        <v>199</v>
      </c>
      <c r="B131" s="14">
        <f>B62-C62</f>
        <v>14171</v>
      </c>
      <c r="C131" s="14">
        <f>C62-D62</f>
        <v>29363</v>
      </c>
    </row>
    <row r="132" spans="1:4" x14ac:dyDescent="0.2">
      <c r="A132" s="21" t="s">
        <v>200</v>
      </c>
      <c r="B132" s="14">
        <f>B68-C68</f>
        <v>-12418</v>
      </c>
      <c r="C132" s="14">
        <f>C68-D68</f>
        <v>-2249</v>
      </c>
    </row>
    <row r="133" spans="1:4" x14ac:dyDescent="0.2">
      <c r="A133" s="6" t="s">
        <v>213</v>
      </c>
      <c r="B133" s="17">
        <f>B17/365</f>
        <v>140.67123287671234</v>
      </c>
      <c r="C133" s="17">
        <f t="shared" ref="C133:D133" si="34">C17/365</f>
        <v>120.23835616438356</v>
      </c>
      <c r="D133" s="17">
        <f t="shared" si="34"/>
        <v>105.93972602739726</v>
      </c>
    </row>
    <row r="134" spans="1:4" x14ac:dyDescent="0.2">
      <c r="A134" s="29" t="s">
        <v>212</v>
      </c>
      <c r="B134" s="14">
        <f>B36+B37+B38</f>
        <v>76488</v>
      </c>
      <c r="C134" s="14">
        <f t="shared" ref="C134:D134" si="35">C36+C37+C38</f>
        <v>88917</v>
      </c>
      <c r="D134" s="14">
        <f t="shared" si="35"/>
        <v>107063</v>
      </c>
    </row>
    <row r="135" spans="1:4" x14ac:dyDescent="0.2">
      <c r="A135" s="6" t="s">
        <v>215</v>
      </c>
      <c r="B135" s="17">
        <f>(B51+C51)/2</f>
        <v>59439</v>
      </c>
      <c r="C135" s="17">
        <f t="shared" ref="C135:D135" si="36">(C51+D51)/2</f>
        <v>48529.5</v>
      </c>
      <c r="D135" s="17">
        <f t="shared" si="36"/>
        <v>21148</v>
      </c>
    </row>
    <row r="136" spans="1:4" x14ac:dyDescent="0.2">
      <c r="A136" s="6" t="s">
        <v>216</v>
      </c>
      <c r="B136" s="14">
        <f>(B38+C38)/2</f>
        <v>27231</v>
      </c>
      <c r="C136" s="14">
        <f t="shared" ref="C136:D136" si="37">(C38+D38)/2</f>
        <v>21199</v>
      </c>
      <c r="D136" s="14">
        <f t="shared" si="37"/>
        <v>8060</v>
      </c>
    </row>
    <row r="137" spans="1:4" x14ac:dyDescent="0.2">
      <c r="A137" s="29" t="s">
        <v>227</v>
      </c>
      <c r="B137" s="17">
        <f>(B17-B138)/365</f>
        <v>85.487671232876707</v>
      </c>
      <c r="C137" s="17">
        <f t="shared" ref="C137:D137" si="38">(C17-C138)/365</f>
        <v>67.663013698630138</v>
      </c>
      <c r="D137" s="17">
        <f t="shared" si="38"/>
        <v>56.939726027397263</v>
      </c>
    </row>
    <row r="138" spans="1:4" x14ac:dyDescent="0.2">
      <c r="A138" s="6" t="s">
        <v>240</v>
      </c>
      <c r="B138" s="14">
        <f>(B79+B80)</f>
        <v>20142</v>
      </c>
      <c r="C138" s="14">
        <f t="shared" ref="C138:D138" si="39">(C79+C80)</f>
        <v>19190</v>
      </c>
      <c r="D138" s="14">
        <f t="shared" si="39"/>
        <v>17885</v>
      </c>
    </row>
    <row r="139" spans="1:4" x14ac:dyDescent="0.2">
      <c r="A139" s="6" t="s">
        <v>241</v>
      </c>
      <c r="B139">
        <f>B28/1000</f>
        <v>16325.819</v>
      </c>
      <c r="C139">
        <f t="shared" ref="C139:D139" si="40">C28/1000</f>
        <v>16864.919000000002</v>
      </c>
      <c r="D139">
        <f t="shared" si="40"/>
        <v>17528.214</v>
      </c>
    </row>
    <row r="140" spans="1:4" x14ac:dyDescent="0.2">
      <c r="A140" t="s">
        <v>244</v>
      </c>
      <c r="B140" s="14">
        <f>B68+B59</f>
        <v>149631</v>
      </c>
      <c r="C140" s="14">
        <f t="shared" ref="C140:D140" si="41">C68+C59</f>
        <v>172196</v>
      </c>
      <c r="D140" s="14">
        <f t="shared" si="41"/>
        <v>164006</v>
      </c>
    </row>
    <row r="141" spans="1:4" x14ac:dyDescent="0.2">
      <c r="A141" s="6" t="s">
        <v>247</v>
      </c>
      <c r="B141" s="14">
        <f>B127+B62</f>
        <v>3250036.1368299997</v>
      </c>
      <c r="C141" s="14">
        <f t="shared" ref="C141:D141" si="42">C127+C62</f>
        <v>3333210.4238300002</v>
      </c>
      <c r="D141" s="14">
        <f t="shared" si="42"/>
        <v>3423618.6019799998</v>
      </c>
    </row>
    <row r="142" spans="1:4" x14ac:dyDescent="0.2">
      <c r="A142" s="6" t="s">
        <v>249</v>
      </c>
      <c r="B142" s="14">
        <f>B106+B104</f>
        <v>9420</v>
      </c>
      <c r="C142" s="14">
        <f t="shared" ref="C142:D142" si="43">C106+C104</f>
        <v>21415</v>
      </c>
      <c r="D142" s="14">
        <f t="shared" si="43"/>
        <v>15128</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7"/>
  <sheetViews>
    <sheetView tabSelected="1" workbookViewId="0">
      <selection activeCell="C73" sqref="C73"/>
    </sheetView>
  </sheetViews>
  <sheetFormatPr baseColWidth="10" defaultColWidth="8.83203125" defaultRowHeight="15" x14ac:dyDescent="0.2"/>
  <cols>
    <col min="1" max="1" width="4.6640625" customWidth="1"/>
    <col min="2" max="2" width="44.83203125" customWidth="1"/>
    <col min="3" max="3" width="54.5" customWidth="1"/>
    <col min="4" max="6" width="19.83203125" bestFit="1" customWidth="1"/>
    <col min="8" max="8" width="34.5" customWidth="1"/>
  </cols>
  <sheetData>
    <row r="1" spans="1:11" ht="60" customHeight="1" x14ac:dyDescent="0.3">
      <c r="A1" s="5"/>
      <c r="B1" s="13" t="s">
        <v>0</v>
      </c>
      <c r="C1" s="13" t="s">
        <v>149</v>
      </c>
      <c r="D1" s="12"/>
      <c r="E1" s="12"/>
      <c r="F1" s="12"/>
      <c r="G1" s="12"/>
      <c r="H1" s="13" t="s">
        <v>239</v>
      </c>
      <c r="I1" s="12"/>
      <c r="J1" s="12"/>
      <c r="K1" s="12"/>
    </row>
    <row r="2" spans="1:11" x14ac:dyDescent="0.2">
      <c r="D2" s="31" t="s">
        <v>23</v>
      </c>
      <c r="E2" s="31"/>
      <c r="F2" s="31"/>
    </row>
    <row r="3" spans="1:11" x14ac:dyDescent="0.2">
      <c r="D3" s="6">
        <f>+'Financial Statements'!B4</f>
        <v>2022</v>
      </c>
      <c r="E3" s="6">
        <f>+'Financial Statements'!C4</f>
        <v>2021</v>
      </c>
      <c r="F3" s="6">
        <f>+'Financial Statements'!D4</f>
        <v>2020</v>
      </c>
    </row>
    <row r="4" spans="1:11" x14ac:dyDescent="0.2">
      <c r="A4" s="11">
        <v>1</v>
      </c>
      <c r="B4" s="6" t="s">
        <v>99</v>
      </c>
      <c r="C4" s="6"/>
    </row>
    <row r="5" spans="1:11" x14ac:dyDescent="0.2">
      <c r="A5" s="11">
        <f>+A4+0.1</f>
        <v>1.1000000000000001</v>
      </c>
      <c r="B5" s="1" t="s">
        <v>100</v>
      </c>
      <c r="C5" t="s">
        <v>150</v>
      </c>
      <c r="D5" s="28">
        <f>'Financial Statements'!B42/'Financial Statements'!B56</f>
        <v>0.87935602862672257</v>
      </c>
      <c r="E5" s="28">
        <f>'Financial Statements'!C42/'Financial Statements'!C56</f>
        <v>1.0745531195957954</v>
      </c>
      <c r="F5" s="28">
        <f>'Financial Statements'!D42/'Financial Statements'!D56</f>
        <v>1.3636044481554577</v>
      </c>
    </row>
    <row r="6" spans="1:11" x14ac:dyDescent="0.2">
      <c r="A6" s="11">
        <f t="shared" ref="A6:A13" si="0">+A5+0.1</f>
        <v>1.2000000000000002</v>
      </c>
      <c r="B6" s="1" t="s">
        <v>101</v>
      </c>
      <c r="C6" s="1" t="s">
        <v>151</v>
      </c>
      <c r="D6" s="28">
        <f>('Financial Statements'!B36+'Financial Statements'!B37+'Financial Statements'!B38)/'Financial Statements'!B56</f>
        <v>0.49673338442155579</v>
      </c>
      <c r="E6" s="28">
        <f>('Financial Statements'!C36+'Financial Statements'!C37+'Financial Statements'!C38)/'Financial Statements'!C56</f>
        <v>0.70860927152317876</v>
      </c>
      <c r="F6" s="28">
        <f>('Financial Statements'!D36+'Financial Statements'!D37+'Financial Statements'!D38)/'Financial Statements'!D56</f>
        <v>1.0158550933657204</v>
      </c>
    </row>
    <row r="7" spans="1:11" x14ac:dyDescent="0.2">
      <c r="A7" s="11">
        <f t="shared" si="0"/>
        <v>1.3000000000000003</v>
      </c>
      <c r="B7" s="1" t="s">
        <v>102</v>
      </c>
      <c r="C7" s="1" t="s">
        <v>152</v>
      </c>
      <c r="D7" s="28">
        <f>('Financial Statements'!B36+'Financial Statements'!B37)/'Financial Statements'!B56</f>
        <v>0.31369900377966253</v>
      </c>
      <c r="E7" s="28">
        <f>('Financial Statements'!C36+'Financial Statements'!C37)/'Financial Statements'!C56</f>
        <v>0.49919111259872012</v>
      </c>
      <c r="F7" s="28">
        <f>('Financial Statements'!D36+'Financial Statements'!D37)/'Financial Statements'!D56</f>
        <v>0.86290230757552755</v>
      </c>
    </row>
    <row r="8" spans="1:11" x14ac:dyDescent="0.2">
      <c r="A8" s="11">
        <f t="shared" si="0"/>
        <v>1.4000000000000004</v>
      </c>
      <c r="B8" s="33" t="s">
        <v>103</v>
      </c>
      <c r="C8" s="34" t="s">
        <v>153</v>
      </c>
      <c r="D8" s="35">
        <f>'Financial Statements'!B134/'Financial Statements'!B137</f>
        <v>894.72550716277283</v>
      </c>
      <c r="E8" s="35">
        <f>'Financial Statements'!C134/'Financial Statements'!C137</f>
        <v>1314.1152771591692</v>
      </c>
      <c r="F8" s="35">
        <f>'Financial Statements'!D134/'Financial Statements'!D137</f>
        <v>1880.2865322619448</v>
      </c>
      <c r="G8" s="36"/>
      <c r="H8" s="36" t="s">
        <v>227</v>
      </c>
    </row>
    <row r="9" spans="1:11" x14ac:dyDescent="0.2">
      <c r="A9" s="11">
        <f t="shared" si="0"/>
        <v>1.5000000000000004</v>
      </c>
      <c r="B9" s="33" t="s">
        <v>104</v>
      </c>
      <c r="C9" s="34" t="s">
        <v>154</v>
      </c>
      <c r="D9" s="35">
        <f>('Financial Statements'!B118/'Financial Statements'!B12)*365</f>
        <v>9.4096740715557434</v>
      </c>
      <c r="E9" s="35">
        <f>('Financial Statements'!C118/'Financial Statements'!C12)*365</f>
        <v>9.1181020842234748</v>
      </c>
      <c r="F9" s="35">
        <f>('Financial Statements'!D118/'Financial Statements'!D12)*365</f>
        <v>4.3709416781179415</v>
      </c>
      <c r="G9" s="36"/>
      <c r="H9" s="36" t="s">
        <v>233</v>
      </c>
    </row>
    <row r="10" spans="1:11" x14ac:dyDescent="0.2">
      <c r="A10" s="11">
        <f t="shared" si="0"/>
        <v>1.6000000000000005</v>
      </c>
      <c r="B10" s="33" t="s">
        <v>105</v>
      </c>
      <c r="C10" s="34" t="s">
        <v>214</v>
      </c>
      <c r="D10" s="35">
        <f>('Financial Statements'!B135/'Financial Statements'!B12)*365</f>
        <v>97.050428099809452</v>
      </c>
      <c r="E10" s="35">
        <f>('Financial Statements'!C135/'Financial Statements'!C12)*365</f>
        <v>83.168299050150011</v>
      </c>
      <c r="F10" s="35">
        <f>('Financial Statements'!D135/'Financial Statements'!D12)*365</f>
        <v>45.524094857837099</v>
      </c>
      <c r="G10" s="36"/>
      <c r="H10" s="36" t="s">
        <v>234</v>
      </c>
    </row>
    <row r="11" spans="1:11" x14ac:dyDescent="0.2">
      <c r="A11" s="11">
        <f t="shared" si="0"/>
        <v>1.7000000000000006</v>
      </c>
      <c r="B11" s="33" t="s">
        <v>106</v>
      </c>
      <c r="C11" s="34" t="s">
        <v>217</v>
      </c>
      <c r="D11" s="35">
        <f>('Financial Statements'!B136/'Financial Statements'!B8)*356</f>
        <v>24.58419386906332</v>
      </c>
      <c r="E11" s="35">
        <f>('Financial Statements'!C136/'Financial Statements'!C8)*356</f>
        <v>20.630107403428489</v>
      </c>
      <c r="F11" s="35">
        <f>('Financial Statements'!D136/'Financial Statements'!D8)*356</f>
        <v>10.452470721089922</v>
      </c>
      <c r="G11" s="36"/>
      <c r="H11" s="36" t="s">
        <v>235</v>
      </c>
    </row>
    <row r="12" spans="1:11" x14ac:dyDescent="0.2">
      <c r="A12" s="11">
        <f t="shared" si="0"/>
        <v>1.8000000000000007</v>
      </c>
      <c r="B12" s="1" t="s">
        <v>218</v>
      </c>
      <c r="C12" s="1" t="s">
        <v>219</v>
      </c>
      <c r="D12" s="11">
        <f>D9+D11-D10</f>
        <v>-63.05656015919039</v>
      </c>
      <c r="E12" s="11">
        <f t="shared" ref="E12:F12" si="1">E9+E11-E10</f>
        <v>-53.420089562498049</v>
      </c>
      <c r="F12" s="11">
        <f t="shared" si="1"/>
        <v>-30.700682458629235</v>
      </c>
    </row>
    <row r="13" spans="1:11" x14ac:dyDescent="0.2">
      <c r="A13" s="11">
        <f t="shared" si="0"/>
        <v>1.9000000000000008</v>
      </c>
      <c r="B13" s="1" t="s">
        <v>107</v>
      </c>
      <c r="C13" s="1" t="s">
        <v>157</v>
      </c>
      <c r="D13" s="11">
        <f>(D14/'Financial Statements'!B8)*100</f>
        <v>-4.7110527276784806</v>
      </c>
      <c r="E13" s="11">
        <f>(E14/'Financial Statements'!C8)*100</f>
        <v>2.5572895737486232</v>
      </c>
      <c r="F13" s="11">
        <f>(F14/'Financial Statements'!D8)*100</f>
        <v>13.959528623208204</v>
      </c>
    </row>
    <row r="14" spans="1:11" x14ac:dyDescent="0.2">
      <c r="A14" s="11"/>
      <c r="B14" s="2" t="s">
        <v>108</v>
      </c>
      <c r="C14" s="2" t="s">
        <v>156</v>
      </c>
      <c r="D14" s="11">
        <f>'Financial Statements'!B42-'Financial Statements'!B56</f>
        <v>-18577</v>
      </c>
      <c r="E14" s="11">
        <f>'Financial Statements'!C42-'Financial Statements'!C56</f>
        <v>9355</v>
      </c>
      <c r="F14" s="11">
        <f>'Financial Statements'!D42-'Financial Statements'!D56</f>
        <v>38321</v>
      </c>
    </row>
    <row r="15" spans="1:11" x14ac:dyDescent="0.2">
      <c r="A15" s="11"/>
      <c r="D15" s="11"/>
      <c r="E15" s="11"/>
      <c r="F15" s="11"/>
    </row>
    <row r="16" spans="1:11" x14ac:dyDescent="0.2">
      <c r="A16" s="11">
        <f>+A4+1</f>
        <v>2</v>
      </c>
      <c r="B16" s="10" t="s">
        <v>109</v>
      </c>
      <c r="C16" s="10"/>
      <c r="D16" s="11"/>
      <c r="E16" s="11"/>
      <c r="F16" s="11"/>
    </row>
    <row r="17" spans="1:8" x14ac:dyDescent="0.2">
      <c r="A17" s="11">
        <f>+A16+0.1</f>
        <v>2.1</v>
      </c>
      <c r="B17" s="1" t="s">
        <v>9</v>
      </c>
      <c r="C17" s="1" t="s">
        <v>220</v>
      </c>
      <c r="D17" s="28">
        <f>'Financial Statements'!B13/'Financial Statements'!B8</f>
        <v>0.43309630561360085</v>
      </c>
      <c r="E17" s="28">
        <f>'Financial Statements'!C13/'Financial Statements'!C8</f>
        <v>0.41779359625167778</v>
      </c>
      <c r="F17" s="28">
        <f>'Financial Statements'!D13/'Financial Statements'!D8</f>
        <v>0.38233247727810865</v>
      </c>
    </row>
    <row r="18" spans="1:8" x14ac:dyDescent="0.2">
      <c r="A18" s="11">
        <f>+A17+0.1</f>
        <v>2.2000000000000002</v>
      </c>
      <c r="B18" s="1" t="s">
        <v>110</v>
      </c>
      <c r="C18" s="1" t="s">
        <v>159</v>
      </c>
      <c r="D18" s="28">
        <f>D19/'Financial Statements'!B8</f>
        <v>0.3310467428130896</v>
      </c>
      <c r="E18" s="28">
        <f>E19/'Financial Statements'!C8</f>
        <v>0.32866979938056462</v>
      </c>
      <c r="F18" s="28">
        <f>F19/'Financial Statements'!D8</f>
        <v>0.2817478097736007</v>
      </c>
    </row>
    <row r="19" spans="1:8" x14ac:dyDescent="0.2">
      <c r="A19" s="11"/>
      <c r="B19" s="2" t="s">
        <v>111</v>
      </c>
      <c r="C19" s="2" t="s">
        <v>158</v>
      </c>
      <c r="D19" s="8">
        <f>D21+'Financial Statements'!B79</f>
        <v>130541</v>
      </c>
      <c r="E19" s="8">
        <f>E21+'Financial Statements'!C79</f>
        <v>120233</v>
      </c>
      <c r="F19" s="8">
        <f>F21+'Financial Statements'!D79</f>
        <v>77344</v>
      </c>
    </row>
    <row r="20" spans="1:8" x14ac:dyDescent="0.2">
      <c r="A20" s="11">
        <f>+A18+0.1</f>
        <v>2.3000000000000003</v>
      </c>
      <c r="B20" s="1" t="s">
        <v>112</v>
      </c>
      <c r="C20" s="2" t="s">
        <v>162</v>
      </c>
      <c r="D20" s="28">
        <f>D21/'Financial Statements'!B8</f>
        <v>0.30288744395528594</v>
      </c>
      <c r="E20" s="28">
        <f>E21/'Financial Statements'!C8</f>
        <v>0.29782377527561593</v>
      </c>
      <c r="F20" s="28">
        <f>F21/'Financial Statements'!D8</f>
        <v>0.24147314354406862</v>
      </c>
    </row>
    <row r="21" spans="1:8" x14ac:dyDescent="0.2">
      <c r="A21" s="11"/>
      <c r="B21" s="2" t="s">
        <v>113</v>
      </c>
      <c r="C21" s="2" t="s">
        <v>161</v>
      </c>
      <c r="D21" s="8">
        <f>'Financial Statements'!B18</f>
        <v>119437</v>
      </c>
      <c r="E21" s="8">
        <f>'Financial Statements'!C18</f>
        <v>108949</v>
      </c>
      <c r="F21" s="8">
        <f>'Financial Statements'!D18</f>
        <v>66288</v>
      </c>
    </row>
    <row r="22" spans="1:8" x14ac:dyDescent="0.2">
      <c r="A22" s="11">
        <f>+A20+0.1</f>
        <v>2.4000000000000004</v>
      </c>
      <c r="B22" s="1" t="s">
        <v>114</v>
      </c>
      <c r="C22" s="1" t="s">
        <v>160</v>
      </c>
      <c r="D22" s="28">
        <f>'Financial Statements'!B22/'Financial Statements'!B8</f>
        <v>0.25309640705199732</v>
      </c>
      <c r="E22" s="28">
        <f>'Financial Statements'!C22/'Financial Statements'!C8</f>
        <v>0.25881793355694238</v>
      </c>
      <c r="F22" s="28">
        <f>'Financial Statements'!D22/'Financial Statements'!D8</f>
        <v>0.20913611278072236</v>
      </c>
    </row>
    <row r="23" spans="1:8" x14ac:dyDescent="0.2">
      <c r="A23" s="11"/>
      <c r="D23" s="11"/>
      <c r="E23" s="11"/>
      <c r="F23" s="11"/>
    </row>
    <row r="24" spans="1:8" x14ac:dyDescent="0.2">
      <c r="A24" s="11">
        <f>+A16+1</f>
        <v>3</v>
      </c>
      <c r="B24" s="6" t="s">
        <v>115</v>
      </c>
      <c r="C24" s="6"/>
      <c r="D24" s="11"/>
      <c r="E24" s="11"/>
      <c r="F24" s="11"/>
    </row>
    <row r="25" spans="1:8" x14ac:dyDescent="0.2">
      <c r="A25" s="11">
        <f>+A24+0.1</f>
        <v>3.1</v>
      </c>
      <c r="B25" s="1" t="s">
        <v>116</v>
      </c>
      <c r="C25" s="1" t="s">
        <v>163</v>
      </c>
      <c r="D25" s="11">
        <f>'Financial Statements'!B59/'Financial Statements'!B68</f>
        <v>1.9529325860435744</v>
      </c>
      <c r="E25" s="11">
        <f>'Financial Statements'!C59/'Financial Statements'!C68</f>
        <v>1.729370740212395</v>
      </c>
      <c r="F25" s="11">
        <f>'Financial Statements'!D59/'Financial Statements'!D68</f>
        <v>1.5100782075024104</v>
      </c>
    </row>
    <row r="26" spans="1:8" x14ac:dyDescent="0.2">
      <c r="A26" s="11">
        <f t="shared" ref="A26:A30" si="2">+A25+0.1</f>
        <v>3.2</v>
      </c>
      <c r="B26" s="1" t="s">
        <v>117</v>
      </c>
      <c r="C26" s="1" t="s">
        <v>164</v>
      </c>
      <c r="D26" s="11">
        <f>'Financial Statements'!B59/'Financial Statements'!B48</f>
        <v>0.28053181386514719</v>
      </c>
      <c r="E26" s="11">
        <f>'Financial Statements'!C59/'Financial Statements'!C48</f>
        <v>0.31084153366647482</v>
      </c>
      <c r="F26" s="11">
        <f>'Financial Statements'!D59/'Financial Statements'!D48</f>
        <v>0.30463308304105124</v>
      </c>
    </row>
    <row r="27" spans="1:8" x14ac:dyDescent="0.2">
      <c r="A27" s="11">
        <f t="shared" si="2"/>
        <v>3.3000000000000003</v>
      </c>
      <c r="B27" s="1" t="s">
        <v>118</v>
      </c>
      <c r="C27" s="1" t="s">
        <v>165</v>
      </c>
      <c r="D27" s="11">
        <f>'Financial Statements'!B59/('Financial Statements'!B59+'Financial Statements'!B68)</f>
        <v>0.66135359651409131</v>
      </c>
      <c r="E27" s="11">
        <f>'Financial Statements'!C59/('Financial Statements'!C59+'Financial Statements'!C68)</f>
        <v>0.63361518269878514</v>
      </c>
      <c r="F27" s="11">
        <f>'Financial Statements'!D59/('Financial Statements'!D59+'Financial Statements'!D68)</f>
        <v>0.60160603880345842</v>
      </c>
    </row>
    <row r="28" spans="1:8" x14ac:dyDescent="0.2">
      <c r="A28" s="11">
        <f t="shared" si="2"/>
        <v>3.4000000000000004</v>
      </c>
      <c r="B28" s="1" t="s">
        <v>119</v>
      </c>
      <c r="C28" s="1" t="s">
        <v>166</v>
      </c>
      <c r="D28" s="11">
        <f>D21/'Financial Statements'!B114</f>
        <v>41.68830715532286</v>
      </c>
      <c r="E28" s="11">
        <f>E21/'Financial Statements'!C114</f>
        <v>40.546706363974693</v>
      </c>
      <c r="F28" s="11">
        <f>F21/'Financial Statements'!D114</f>
        <v>22.081279147235175</v>
      </c>
    </row>
    <row r="29" spans="1:8" x14ac:dyDescent="0.2">
      <c r="A29" s="11">
        <f t="shared" si="2"/>
        <v>3.5000000000000004</v>
      </c>
      <c r="B29" s="1" t="s">
        <v>120</v>
      </c>
      <c r="C29" s="1"/>
      <c r="D29" s="11"/>
      <c r="E29" s="11"/>
      <c r="F29" s="11"/>
    </row>
    <row r="30" spans="1:8" x14ac:dyDescent="0.2">
      <c r="A30" s="11">
        <f t="shared" si="2"/>
        <v>3.6000000000000005</v>
      </c>
      <c r="B30" s="33" t="s">
        <v>121</v>
      </c>
      <c r="C30" s="34" t="s">
        <v>222</v>
      </c>
      <c r="D30" s="35">
        <f>D31/'Financial Statements'!B139</f>
        <v>13.51638162838875</v>
      </c>
      <c r="E30" s="35">
        <f>E31/'Financial Statements'!C139</f>
        <v>12.395434570423966</v>
      </c>
      <c r="F30" s="35">
        <f>F31/'Financial Statements'!D139</f>
        <v>8.3239513164318968</v>
      </c>
      <c r="G30" s="36"/>
      <c r="H30" s="36"/>
    </row>
    <row r="31" spans="1:8" x14ac:dyDescent="0.2">
      <c r="A31" s="11"/>
      <c r="B31" s="37" t="s">
        <v>122</v>
      </c>
      <c r="C31" s="38" t="s">
        <v>221</v>
      </c>
      <c r="D31" s="16">
        <f>'Financial Statements'!B91+'Financial Statements'!B96+'Financial Statements'!B142</f>
        <v>220666</v>
      </c>
      <c r="E31" s="16">
        <f>'Financial Statements'!C91+'Financial Statements'!C96+'Financial Statements'!C142</f>
        <v>209048</v>
      </c>
      <c r="F31" s="16">
        <f>'Financial Statements'!D91+'Financial Statements'!D96+'Financial Statements'!D142</f>
        <v>145904</v>
      </c>
      <c r="G31" s="36"/>
      <c r="H31" s="36" t="s">
        <v>236</v>
      </c>
    </row>
    <row r="32" spans="1:8" x14ac:dyDescent="0.2">
      <c r="A32" s="11"/>
      <c r="B32" s="36"/>
      <c r="C32" s="34"/>
      <c r="D32" s="35"/>
      <c r="E32" s="35"/>
      <c r="F32" s="35"/>
      <c r="G32" s="36"/>
      <c r="H32" s="36"/>
    </row>
    <row r="33" spans="1:8" x14ac:dyDescent="0.2">
      <c r="A33" s="11">
        <f>+A24+1</f>
        <v>4</v>
      </c>
      <c r="B33" s="39" t="s">
        <v>123</v>
      </c>
      <c r="C33" s="39"/>
      <c r="D33" s="35"/>
      <c r="E33" s="35"/>
      <c r="F33" s="35"/>
      <c r="G33" s="36"/>
      <c r="H33" s="36"/>
    </row>
    <row r="34" spans="1:8" x14ac:dyDescent="0.2">
      <c r="A34" s="11">
        <f>+A33+0.1</f>
        <v>4.0999999999999996</v>
      </c>
      <c r="B34" s="33" t="s">
        <v>124</v>
      </c>
      <c r="C34" s="34" t="s">
        <v>174</v>
      </c>
      <c r="D34" s="35">
        <f>'Financial Statements'!B8/'Financial Statements'!B116</f>
        <v>1.1206368107173357</v>
      </c>
      <c r="E34" s="35">
        <f>'Financial Statements'!C8/'Financial Statements'!C116</f>
        <v>1.084078886929722</v>
      </c>
      <c r="F34" s="35">
        <f>'Financial Statements'!D8/'Financial Statements'!D48</f>
        <v>0.84756150274168851</v>
      </c>
      <c r="G34" s="36" t="s">
        <v>177</v>
      </c>
      <c r="H34" s="36" t="s">
        <v>237</v>
      </c>
    </row>
    <row r="35" spans="1:8" x14ac:dyDescent="0.2">
      <c r="A35" s="11">
        <f t="shared" ref="A35:A37" si="3">+A34+0.1</f>
        <v>4.1999999999999993</v>
      </c>
      <c r="B35" s="33" t="s">
        <v>125</v>
      </c>
      <c r="C35" s="34" t="s">
        <v>175</v>
      </c>
      <c r="D35" s="35">
        <f>'Financial Statements'!B8/'Financial Statements'!B117</f>
        <v>9.6699976703409884</v>
      </c>
      <c r="E35" s="35">
        <f>'Financial Statements'!C8/'Financial Statements'!C117</f>
        <v>9.6007400992047867</v>
      </c>
      <c r="F35" s="35">
        <f>'Financial Statements'!D8/'Financial Statements'!D117</f>
        <v>14.933090355219496</v>
      </c>
      <c r="G35" s="36"/>
      <c r="H35" s="36" t="s">
        <v>238</v>
      </c>
    </row>
    <row r="36" spans="1:8" x14ac:dyDescent="0.2">
      <c r="A36" s="11">
        <f t="shared" si="3"/>
        <v>4.2999999999999989</v>
      </c>
      <c r="B36" s="33" t="s">
        <v>126</v>
      </c>
      <c r="C36" s="34" t="s">
        <v>167</v>
      </c>
      <c r="D36" s="35">
        <f>'Financial Statements'!B12/'Financial Statements'!B118</f>
        <v>38.789866389033492</v>
      </c>
      <c r="E36" s="35">
        <f>'Financial Statements'!C12/'Financial Statements'!C118</f>
        <v>40.030260313880277</v>
      </c>
      <c r="F36" s="35">
        <f>'Financial Statements'!D12/'Financial Statements'!D118</f>
        <v>83.506032996798822</v>
      </c>
      <c r="G36" s="36"/>
      <c r="H36" s="36" t="s">
        <v>238</v>
      </c>
    </row>
    <row r="37" spans="1:8" x14ac:dyDescent="0.2">
      <c r="A37" s="11">
        <f t="shared" si="3"/>
        <v>4.3999999999999986</v>
      </c>
      <c r="B37" s="33" t="s">
        <v>127</v>
      </c>
      <c r="C37" s="34" t="s">
        <v>179</v>
      </c>
      <c r="D37" s="35">
        <f>'Financial Statements'!B22/'Financial Statements'!B116</f>
        <v>0.28362915040276687</v>
      </c>
      <c r="E37" s="35">
        <f>'Financial Statements'!C22/'Financial Statements'!C116</f>
        <v>0.28057905732786081</v>
      </c>
      <c r="F37" s="35">
        <f>'Financial Statements'!D22/'Financial Statements'!D116</f>
        <v>0.35451143605196861</v>
      </c>
      <c r="G37" s="36"/>
      <c r="H37" s="36" t="s">
        <v>237</v>
      </c>
    </row>
    <row r="38" spans="1:8" x14ac:dyDescent="0.2">
      <c r="A38" s="11"/>
      <c r="B38" s="36"/>
      <c r="C38" s="36"/>
      <c r="D38" s="35"/>
      <c r="E38" s="35"/>
      <c r="F38" s="35"/>
      <c r="G38" s="36"/>
      <c r="H38" s="36"/>
    </row>
    <row r="39" spans="1:8" x14ac:dyDescent="0.2">
      <c r="A39" s="11">
        <f>+A33+1</f>
        <v>5</v>
      </c>
      <c r="B39" s="39" t="s">
        <v>128</v>
      </c>
      <c r="C39" s="39"/>
      <c r="D39" s="35"/>
      <c r="E39" s="35"/>
      <c r="F39" s="35"/>
      <c r="G39" s="36"/>
      <c r="H39" s="36"/>
    </row>
    <row r="40" spans="1:8" x14ac:dyDescent="0.2">
      <c r="A40" s="11">
        <f>+A39+0.1</f>
        <v>5.0999999999999996</v>
      </c>
      <c r="B40" s="34" t="s">
        <v>129</v>
      </c>
      <c r="C40" s="34" t="s">
        <v>168</v>
      </c>
      <c r="D40" s="35">
        <f>'Financial Statements'!B119/'Financial Statements'!B25</f>
        <v>29.553191489361698</v>
      </c>
      <c r="E40" s="35">
        <f>'Financial Statements'!C119/'Financial Statements'!C25</f>
        <v>32.18716577540107</v>
      </c>
      <c r="F40" s="35">
        <f>'Financial Statements'!D119/'Financial Statements'!D25</f>
        <v>55.051829268292686</v>
      </c>
      <c r="G40" s="36"/>
      <c r="H40" s="36"/>
    </row>
    <row r="41" spans="1:8" x14ac:dyDescent="0.2">
      <c r="A41" s="11">
        <f t="shared" ref="A41:A44" si="4">+A40+0.1</f>
        <v>5.1999999999999993</v>
      </c>
      <c r="B41" s="38" t="s">
        <v>130</v>
      </c>
      <c r="C41" s="38" t="s">
        <v>169</v>
      </c>
      <c r="D41" s="35">
        <f>'Financial Statements'!B25</f>
        <v>6.11</v>
      </c>
      <c r="E41" s="35">
        <f>'Financial Statements'!C25</f>
        <v>5.61</v>
      </c>
      <c r="F41" s="35">
        <f>'Financial Statements'!D25</f>
        <v>3.28</v>
      </c>
      <c r="G41" s="36"/>
      <c r="H41" s="36"/>
    </row>
    <row r="42" spans="1:8" x14ac:dyDescent="0.2">
      <c r="A42" s="11">
        <f t="shared" si="4"/>
        <v>5.2999999999999989</v>
      </c>
      <c r="B42" s="34" t="s">
        <v>131</v>
      </c>
      <c r="C42" s="34" t="s">
        <v>170</v>
      </c>
      <c r="D42" s="40">
        <f>'Financial Statements'!B119/'List of Ratios'!D43</f>
        <v>58.177161683572777</v>
      </c>
      <c r="E42" s="40">
        <f>'Financial Statements'!C119/'List of Ratios'!E43</f>
        <v>48.269114341892532</v>
      </c>
      <c r="F42" s="40">
        <f>'Financial Statements'!D119/'List of Ratios'!F43</f>
        <v>48.440741394572917</v>
      </c>
      <c r="G42" s="36"/>
      <c r="H42" s="36"/>
    </row>
    <row r="43" spans="1:8" x14ac:dyDescent="0.2">
      <c r="A43" s="11">
        <f t="shared" si="4"/>
        <v>5.3999999999999986</v>
      </c>
      <c r="B43" s="37" t="s">
        <v>132</v>
      </c>
      <c r="C43" s="38" t="s">
        <v>224</v>
      </c>
      <c r="D43" s="35">
        <f>('Financial Statements'!B48-'Financial Statements'!B62)/'Financial Statements'!B139</f>
        <v>3.1037952827971451</v>
      </c>
      <c r="E43" s="35">
        <f>('Financial Statements'!C48-'Financial Statements'!C62)/'Financial Statements'!C139</f>
        <v>3.740901453484597</v>
      </c>
      <c r="F43" s="35">
        <f>('Financial Statements'!D48-'Financial Statements'!D62)/'Financial Statements'!D139</f>
        <v>3.7276473233382479</v>
      </c>
      <c r="G43" s="36"/>
      <c r="H43" s="36" t="s">
        <v>228</v>
      </c>
    </row>
    <row r="44" spans="1:8" x14ac:dyDescent="0.2">
      <c r="A44" s="11">
        <f t="shared" si="4"/>
        <v>5.4999999999999982</v>
      </c>
      <c r="B44" s="34" t="s">
        <v>133</v>
      </c>
      <c r="C44" s="34" t="s">
        <v>171</v>
      </c>
      <c r="D44" s="35">
        <f>D45/D41</f>
        <v>-0.14878083013397297</v>
      </c>
      <c r="E44" s="35">
        <f t="shared" ref="E44:F44" si="5">E45/E41</f>
        <v>-0.15290840583271573</v>
      </c>
      <c r="F44" s="35">
        <f t="shared" si="5"/>
        <v>-0.24491872388584765</v>
      </c>
      <c r="G44" s="36"/>
      <c r="H44" s="36"/>
    </row>
    <row r="45" spans="1:8" x14ac:dyDescent="0.2">
      <c r="A45" s="11"/>
      <c r="B45" s="37" t="s">
        <v>134</v>
      </c>
      <c r="C45" s="38" t="s">
        <v>172</v>
      </c>
      <c r="D45" s="35">
        <f>'Financial Statements'!B102/'Financial Statements'!B139</f>
        <v>-0.90905087211857494</v>
      </c>
      <c r="E45" s="35">
        <f>'Financial Statements'!C102/'Financial Statements'!C139</f>
        <v>-0.85781615672153533</v>
      </c>
      <c r="F45" s="35">
        <f>'Financial Statements'!D102/'Financial Statements'!D139</f>
        <v>-0.80333341434558025</v>
      </c>
      <c r="G45" s="36"/>
      <c r="H45" s="36" t="s">
        <v>229</v>
      </c>
    </row>
    <row r="46" spans="1:8" x14ac:dyDescent="0.2">
      <c r="A46" s="11">
        <f>+A44+0.1</f>
        <v>5.5999999999999979</v>
      </c>
      <c r="B46" s="34" t="s">
        <v>135</v>
      </c>
      <c r="C46" s="34" t="s">
        <v>173</v>
      </c>
      <c r="D46" s="35">
        <f>D45/'Financial Statements'!B119</f>
        <v>-5.0343405444900867E-3</v>
      </c>
      <c r="E46" s="35">
        <f>E45/'Financial Statements'!C119</f>
        <v>-4.7506017429336843E-3</v>
      </c>
      <c r="F46" s="35">
        <f>F45/'Financial Statements'!D119</f>
        <v>-4.4488753078893517E-3</v>
      </c>
      <c r="G46" s="36"/>
      <c r="H46" s="36"/>
    </row>
    <row r="47" spans="1:8" x14ac:dyDescent="0.2">
      <c r="A47" s="11">
        <f t="shared" ref="A47:A50" si="6">+A45+0.1</f>
        <v>0.1</v>
      </c>
      <c r="B47" s="33" t="s">
        <v>136</v>
      </c>
      <c r="C47" s="34" t="s">
        <v>243</v>
      </c>
      <c r="D47" s="35">
        <f>'Financial Statements'!B22/'Financial Statements'!B68</f>
        <v>1.9695887275023682</v>
      </c>
      <c r="E47" s="35">
        <f>'Financial Statements'!C22/'Financial Statements'!C68</f>
        <v>1.5007132667617689</v>
      </c>
      <c r="F47" s="35">
        <f>'Financial Statements'!D22/'Financial Statements'!D68</f>
        <v>0.87866358530127486</v>
      </c>
      <c r="G47" s="36"/>
      <c r="H47" s="36" t="s">
        <v>230</v>
      </c>
    </row>
    <row r="48" spans="1:8" x14ac:dyDescent="0.2">
      <c r="A48" s="11">
        <f t="shared" si="6"/>
        <v>5.6999999999999975</v>
      </c>
      <c r="B48" s="33" t="s">
        <v>137</v>
      </c>
      <c r="C48" s="34" t="s">
        <v>245</v>
      </c>
      <c r="D48" s="35">
        <f>D21/'Financial Statements'!B140</f>
        <v>0.79821026391589978</v>
      </c>
      <c r="E48" s="35">
        <f>E21/'Financial Statements'!C124</f>
        <v>0.48309913489209433</v>
      </c>
      <c r="F48" s="35">
        <f>F21/'Financial Statements'!D124</f>
        <v>0.30338312829525482</v>
      </c>
      <c r="G48" s="36"/>
      <c r="H48" s="36" t="s">
        <v>231</v>
      </c>
    </row>
    <row r="49" spans="1:8" x14ac:dyDescent="0.2">
      <c r="A49" s="11">
        <f t="shared" si="6"/>
        <v>0.2</v>
      </c>
      <c r="B49" s="34" t="s">
        <v>127</v>
      </c>
      <c r="C49" s="34" t="s">
        <v>179</v>
      </c>
      <c r="D49" s="35">
        <f>D37</f>
        <v>0.28362915040276687</v>
      </c>
      <c r="E49" s="35">
        <f t="shared" ref="E49:F49" si="7">E37</f>
        <v>0.28057905732786081</v>
      </c>
      <c r="F49" s="35">
        <f t="shared" si="7"/>
        <v>0.35451143605196861</v>
      </c>
      <c r="G49" s="36"/>
      <c r="H49" s="36"/>
    </row>
    <row r="50" spans="1:8" x14ac:dyDescent="0.2">
      <c r="A50" s="11">
        <f t="shared" si="6"/>
        <v>5.7999999999999972</v>
      </c>
      <c r="B50" s="34" t="s">
        <v>138</v>
      </c>
      <c r="C50" s="34" t="s">
        <v>225</v>
      </c>
      <c r="D50" s="35">
        <f>D51/D19</f>
        <v>24.715531034923892</v>
      </c>
      <c r="E50" s="35">
        <f t="shared" ref="E50:F50" si="8">E51/E19</f>
        <v>27.432322439180592</v>
      </c>
      <c r="F50" s="35">
        <f t="shared" si="8"/>
        <v>43.77330629370087</v>
      </c>
      <c r="G50" s="36"/>
      <c r="H50" s="36"/>
    </row>
    <row r="51" spans="1:8" x14ac:dyDescent="0.2">
      <c r="A51" s="11"/>
      <c r="B51" s="37" t="s">
        <v>139</v>
      </c>
      <c r="C51" s="38" t="s">
        <v>248</v>
      </c>
      <c r="D51" s="35">
        <f>'Financial Statements'!B141-'Financial Statements'!B36</f>
        <v>3226390.1368299997</v>
      </c>
      <c r="E51" s="35">
        <f>'Financial Statements'!C141-'Financial Statements'!C36</f>
        <v>3298270.4238300002</v>
      </c>
      <c r="F51" s="35">
        <f>'Financial Statements'!D141-'Financial Statements'!D36</f>
        <v>3385602.6019799998</v>
      </c>
      <c r="G51" s="36"/>
      <c r="H51" s="36" t="s">
        <v>232</v>
      </c>
    </row>
    <row r="52" spans="1:8" x14ac:dyDescent="0.2">
      <c r="D52" s="11"/>
      <c r="E52" s="11"/>
      <c r="F52" s="11"/>
    </row>
    <row r="53" spans="1:8" x14ac:dyDescent="0.2">
      <c r="D53" s="11"/>
      <c r="E53" s="11"/>
      <c r="F53" s="11"/>
    </row>
    <row r="54" spans="1:8" x14ac:dyDescent="0.2">
      <c r="A54" s="6" t="s">
        <v>187</v>
      </c>
      <c r="D54" s="11"/>
      <c r="E54" s="11"/>
      <c r="F54" s="11"/>
    </row>
    <row r="55" spans="1:8" x14ac:dyDescent="0.2">
      <c r="A55" s="1" t="s">
        <v>188</v>
      </c>
      <c r="C55" t="s">
        <v>191</v>
      </c>
      <c r="D55" s="11">
        <f>(('Financial Statements'!B6-'Financial Statements'!C6)/'Financial Statements'!C6)*100</f>
        <v>6.3239764351428418</v>
      </c>
      <c r="E55" s="11">
        <f>(('Financial Statements'!C6-'Financial Statements'!D6)/'Financial Statements'!D6)*100</f>
        <v>34.720743656765436</v>
      </c>
      <c r="F55" s="11"/>
    </row>
    <row r="56" spans="1:8" x14ac:dyDescent="0.2">
      <c r="A56" s="1" t="s">
        <v>189</v>
      </c>
      <c r="C56" t="s">
        <v>191</v>
      </c>
      <c r="D56" s="11">
        <f>(('Financial Statements'!B7-'Financial Statements'!C7)/'Financial Statements'!C7)*100</f>
        <v>14.181951041286078</v>
      </c>
      <c r="E56" s="11">
        <f>(('Financial Statements'!C7-'Financial Statements'!D7)/'Financial Statements'!D7)*100</f>
        <v>27.259708376729652</v>
      </c>
      <c r="F56" s="11"/>
    </row>
    <row r="57" spans="1:8" x14ac:dyDescent="0.2">
      <c r="A57" s="1" t="s">
        <v>190</v>
      </c>
      <c r="C57" t="s">
        <v>191</v>
      </c>
      <c r="D57" s="11">
        <f>(('Financial Statements'!B8-'Financial Statements'!C8)/'Financial Statements'!C8)*100</f>
        <v>7.7937876041846055</v>
      </c>
      <c r="E57" s="11">
        <f>(('Financial Statements'!C8-'Financial Statements'!D8)/'Financial Statements'!D8)*100</f>
        <v>33.25938473307469</v>
      </c>
      <c r="F57" s="11"/>
    </row>
    <row r="58" spans="1:8" x14ac:dyDescent="0.2">
      <c r="A58" s="1" t="s">
        <v>192</v>
      </c>
      <c r="C58" t="s">
        <v>193</v>
      </c>
      <c r="D58" s="11">
        <f>(('Financial Statements'!B13-'Financial Statements'!C13)/'Financial Statements'!C13)*100</f>
        <v>11.741997958596142</v>
      </c>
      <c r="E58" s="11">
        <f>(('Financial Statements'!C13-'Financial Statements'!D13)/'Financial Statements'!D13)*100</f>
        <v>45.61911658218682</v>
      </c>
      <c r="F58" s="11"/>
    </row>
    <row r="59" spans="1:8" x14ac:dyDescent="0.2">
      <c r="A59" s="1" t="s">
        <v>194</v>
      </c>
      <c r="C59" t="s">
        <v>193</v>
      </c>
      <c r="D59" s="11">
        <f>('Financial Statements'!B128/'Financial Statements'!C15)*100</f>
        <v>19.791001186456146</v>
      </c>
      <c r="E59" s="11">
        <f>('Financial Statements'!C128/'Financial Statements'!D15)*100</f>
        <v>16.862201365187712</v>
      </c>
      <c r="F59" s="11"/>
    </row>
    <row r="60" spans="1:8" x14ac:dyDescent="0.2">
      <c r="A60" s="1" t="s">
        <v>195</v>
      </c>
      <c r="C60" t="s">
        <v>193</v>
      </c>
      <c r="D60" s="11">
        <f>('Financial Statements'!B129/'Financial Statements'!C16)*100</f>
        <v>14.203795567287125</v>
      </c>
      <c r="E60" s="11">
        <f>('Financial Statements'!C129/'Financial Statements'!D16)*100</f>
        <v>10.328379192608958</v>
      </c>
      <c r="F60" s="11"/>
    </row>
    <row r="61" spans="1:8" ht="16" thickBot="1" x14ac:dyDescent="0.25">
      <c r="A61" s="20" t="s">
        <v>201</v>
      </c>
      <c r="C61" t="s">
        <v>193</v>
      </c>
      <c r="D61" s="11">
        <f>('Financial Statements'!B130/'Financial Statements'!C48)*100</f>
        <v>0.49942735369029234</v>
      </c>
      <c r="E61" s="11">
        <f>('Financial Statements'!C130/'Financial Statements'!D48)*100</f>
        <v>8.3714123400681704</v>
      </c>
      <c r="F61" s="11"/>
    </row>
    <row r="62" spans="1:8" ht="16" thickTop="1" x14ac:dyDescent="0.2">
      <c r="A62" s="21" t="s">
        <v>41</v>
      </c>
      <c r="C62" t="s">
        <v>193</v>
      </c>
      <c r="D62" s="11">
        <f>('Financial Statements'!B131/'Financial Statements'!C62)*100</f>
        <v>4.9219900525160467</v>
      </c>
      <c r="E62" s="11">
        <f>('Financial Statements'!C131/'Financial Statements'!D62)*100</f>
        <v>11.356841449783213</v>
      </c>
      <c r="F62" s="11"/>
    </row>
    <row r="63" spans="1:8" x14ac:dyDescent="0.2">
      <c r="A63" s="21" t="s">
        <v>202</v>
      </c>
      <c r="C63" t="s">
        <v>193</v>
      </c>
      <c r="D63" s="11">
        <f>('Financial Statements'!B132/'Financial Statements'!C68)*100</f>
        <v>-19.682992550324933</v>
      </c>
      <c r="E63" s="11">
        <f>('Financial Statements'!C132/'Financial Statements'!D68)*100</f>
        <v>-3.4420483937617661</v>
      </c>
      <c r="F63" s="11"/>
    </row>
    <row r="64" spans="1:8" x14ac:dyDescent="0.2">
      <c r="D64" s="11"/>
      <c r="E64" s="11"/>
      <c r="F64" s="11"/>
    </row>
    <row r="65" spans="1:6" x14ac:dyDescent="0.2">
      <c r="A65" s="10" t="s">
        <v>203</v>
      </c>
      <c r="D65" s="11"/>
      <c r="E65" s="11"/>
      <c r="F65" s="11"/>
    </row>
    <row r="66" spans="1:6" x14ac:dyDescent="0.2">
      <c r="A66" s="1" t="s">
        <v>145</v>
      </c>
      <c r="C66" t="s">
        <v>204</v>
      </c>
      <c r="D66" s="11">
        <f>('Financial Statements'!B12/'Financial Statements'!B8)*100</f>
        <v>56.690369438639912</v>
      </c>
      <c r="E66" s="11">
        <f>('Financial Statements'!C12/'Financial Statements'!C8)*100</f>
        <v>58.220640374832222</v>
      </c>
      <c r="F66" s="11">
        <f>('Financial Statements'!D12/'Financial Statements'!D8)*100</f>
        <v>61.76675227218913</v>
      </c>
    </row>
    <row r="67" spans="1:6" x14ac:dyDescent="0.2">
      <c r="A67" s="1" t="s">
        <v>89</v>
      </c>
      <c r="C67" t="s">
        <v>205</v>
      </c>
      <c r="D67" s="11">
        <f>('Financial Statements'!B13/'Financial Statements'!B8)*100</f>
        <v>43.309630561360088</v>
      </c>
      <c r="E67" s="11">
        <f>('Financial Statements'!C13/'Financial Statements'!C8)*100</f>
        <v>41.779359625167778</v>
      </c>
      <c r="F67" s="11">
        <f>('Financial Statements'!D13/'Financial Statements'!D8)*100</f>
        <v>38.233247727810863</v>
      </c>
    </row>
    <row r="68" spans="1:6" x14ac:dyDescent="0.2">
      <c r="A68" s="7" t="s">
        <v>90</v>
      </c>
      <c r="D68" s="11"/>
      <c r="E68" s="11"/>
      <c r="F68" s="11"/>
    </row>
    <row r="69" spans="1:6" x14ac:dyDescent="0.2">
      <c r="A69" s="1" t="s">
        <v>11</v>
      </c>
      <c r="C69" t="s">
        <v>206</v>
      </c>
      <c r="D69" s="11">
        <f>('Financial Statements'!B15/'Financial Statements'!B8)*100</f>
        <v>6.6571483637986653</v>
      </c>
      <c r="E69" s="11">
        <f>('Financial Statements'!C15/'Financial Statements'!C8)*100</f>
        <v>5.9904269074427923</v>
      </c>
      <c r="F69" s="11">
        <f>('Financial Statements'!D15/'Financial Statements'!D8)*100</f>
        <v>6.8309564140393064</v>
      </c>
    </row>
    <row r="70" spans="1:6" x14ac:dyDescent="0.2">
      <c r="A70" s="1" t="s">
        <v>12</v>
      </c>
      <c r="C70" t="s">
        <v>207</v>
      </c>
      <c r="D70" s="11">
        <f>('Financial Statements'!B16/'Financial Statements'!B8)*100</f>
        <v>6.3637378020328264</v>
      </c>
      <c r="E70" s="11">
        <f>('Financial Statements'!C16/'Financial Statements'!C8)*100</f>
        <v>6.0065551901633878</v>
      </c>
      <c r="F70" s="11">
        <f>('Financial Statements'!D16/'Financial Statements'!D8)*100</f>
        <v>7.254976959364698</v>
      </c>
    </row>
    <row r="71" spans="1:6" x14ac:dyDescent="0.2">
      <c r="A71" s="1" t="s">
        <v>14</v>
      </c>
      <c r="C71" t="s">
        <v>208</v>
      </c>
      <c r="D71" s="11">
        <f>('Financial Statements'!B18/'Financial Statements'!B8)*100</f>
        <v>30.288744395528592</v>
      </c>
      <c r="E71" s="11">
        <f>('Financial Statements'!C18/'Financial Statements'!C8)*100</f>
        <v>29.782377527561593</v>
      </c>
      <c r="F71" s="11">
        <f>('Financial Statements'!D18/'Financial Statements'!D8)*100</f>
        <v>24.147314354406863</v>
      </c>
    </row>
    <row r="72" spans="1:6" x14ac:dyDescent="0.2">
      <c r="A72" s="1" t="s">
        <v>93</v>
      </c>
      <c r="C72" t="s">
        <v>209</v>
      </c>
      <c r="D72" s="11">
        <f>('Financial Statements'!B22/'Financial Statements'!B8)*100</f>
        <v>25.309640705199733</v>
      </c>
      <c r="E72" s="11">
        <f>('Financial Statements'!C22/'Financial Statements'!C8)*100</f>
        <v>25.881793355694239</v>
      </c>
      <c r="F72" s="11">
        <f>('Financial Statements'!D22/'Financial Statements'!D8)*100</f>
        <v>20.913611278072235</v>
      </c>
    </row>
    <row r="73" spans="1:6" x14ac:dyDescent="0.2">
      <c r="A73" s="1"/>
      <c r="D73" s="11"/>
      <c r="E73" s="11"/>
      <c r="F73" s="11"/>
    </row>
    <row r="74" spans="1:6" x14ac:dyDescent="0.2">
      <c r="A74" s="6" t="s">
        <v>226</v>
      </c>
      <c r="D74" s="11"/>
      <c r="E74" s="11"/>
      <c r="F74" s="11"/>
    </row>
    <row r="75" spans="1:6" x14ac:dyDescent="0.2">
      <c r="A75" s="1" t="s">
        <v>94</v>
      </c>
      <c r="D75" s="11"/>
      <c r="E75" s="11"/>
      <c r="F75" s="11"/>
    </row>
    <row r="76" spans="1:6" x14ac:dyDescent="0.2">
      <c r="A76" s="1" t="s">
        <v>95</v>
      </c>
      <c r="C76" t="s">
        <v>210</v>
      </c>
      <c r="D76" s="11">
        <f>(('Financial Statements'!B45-'Financial Statements'!C45+'Financial Statements'!B79)/'Financial Statements'!B8)*100</f>
        <v>3.4948063541011543</v>
      </c>
      <c r="E76" s="11">
        <f>(('Financial Statements'!C45-'Financial Statements'!D45+'Financial Statements'!C79)/'Financial Statements'!C8)*100</f>
        <v>3.815568986679132</v>
      </c>
      <c r="F76" s="11">
        <f>(('Financial Statements'!D45-'Financial Statements'!E45+'Financial Statements'!D79)/'Financial Statements'!D8)*100</f>
        <v>17.420541682603865</v>
      </c>
    </row>
    <row r="77" spans="1:6" x14ac:dyDescent="0.2">
      <c r="A77" s="1" t="s">
        <v>96</v>
      </c>
      <c r="C77" t="s">
        <v>211</v>
      </c>
      <c r="D77" s="11">
        <f>(('Financial Statements'!B45-'Financial Statements'!C45+'Financial Statements'!B79)/'Financial Statements'!B45)*100</f>
        <v>32.720754089797474</v>
      </c>
      <c r="E77" s="11">
        <f>(('Financial Statements'!C45-'Financial Statements'!D45+'Financial Statements'!C79)/'Financial Statements'!C45)*100</f>
        <v>35.390466531440161</v>
      </c>
      <c r="F77" s="11">
        <f>(('Financial Statements'!D45-'Financial Statements'!E45+'Financial Statements'!D79)/'Financial Statements'!D45)*100</f>
        <v>130.07126149159549</v>
      </c>
    </row>
  </sheetData>
  <mergeCells count="1">
    <mergeCell ref="D2:F2"/>
  </mergeCells>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Kuruvilla, Evita</cp:lastModifiedBy>
  <dcterms:created xsi:type="dcterms:W3CDTF">2020-05-18T16:32:37Z</dcterms:created>
  <dcterms:modified xsi:type="dcterms:W3CDTF">2023-06-15T12:49:55Z</dcterms:modified>
</cp:coreProperties>
</file>