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David/Desktop/QCP/"/>
    </mc:Choice>
  </mc:AlternateContent>
  <xr:revisionPtr revIDLastSave="0" documentId="13_ncr:1_{766105EE-53D4-4A4E-B830-0D2A5D9BA294}" xr6:coauthVersionLast="47" xr6:coauthVersionMax="47" xr10:uidLastSave="{00000000-0000-0000-0000-000000000000}"/>
  <bookViews>
    <workbookView xWindow="0" yWindow="460" windowWidth="28800" windowHeight="16160"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 l="1"/>
  <c r="I36" i="1"/>
  <c r="H37" i="1"/>
  <c r="I37" i="1"/>
  <c r="H38" i="1"/>
  <c r="I38" i="1"/>
  <c r="H39" i="1"/>
  <c r="I39" i="1"/>
  <c r="H40" i="1"/>
  <c r="I40" i="1"/>
  <c r="H41" i="1"/>
  <c r="I41" i="1"/>
  <c r="H44" i="1"/>
  <c r="I44" i="1"/>
  <c r="H45" i="1"/>
  <c r="I45" i="1"/>
  <c r="H46" i="1"/>
  <c r="I46" i="1"/>
  <c r="E51" i="3"/>
  <c r="D51" i="3"/>
  <c r="C51" i="3"/>
  <c r="C34" i="3"/>
  <c r="D30" i="3"/>
  <c r="E30" i="3"/>
  <c r="C30" i="3"/>
  <c r="C31" i="3"/>
  <c r="D31" i="3"/>
  <c r="E31" i="3"/>
  <c r="D27" i="3"/>
  <c r="E27" i="3"/>
  <c r="C27" i="3"/>
  <c r="D29" i="3"/>
  <c r="E29" i="3"/>
  <c r="C29" i="3"/>
  <c r="C28" i="3"/>
  <c r="D28" i="3"/>
  <c r="E28" i="3"/>
  <c r="C8" i="3"/>
  <c r="C26" i="2"/>
  <c r="D26" i="2"/>
  <c r="B26" i="2"/>
  <c r="C25" i="2"/>
  <c r="D25" i="2"/>
  <c r="B25" i="2"/>
  <c r="E45" i="3"/>
  <c r="D45" i="3"/>
  <c r="C45" i="3"/>
  <c r="C24" i="2"/>
  <c r="D24" i="2"/>
  <c r="B24" i="2"/>
  <c r="C19" i="2"/>
  <c r="D19" i="2"/>
  <c r="B19" i="2"/>
  <c r="C18" i="2"/>
  <c r="D18" i="2"/>
  <c r="B18" i="2"/>
  <c r="C21" i="2"/>
  <c r="D21" i="2"/>
  <c r="B21" i="2"/>
  <c r="C20" i="2"/>
  <c r="D20" i="2"/>
  <c r="B20" i="2"/>
  <c r="C16" i="2"/>
  <c r="D16" i="2"/>
  <c r="B16" i="2"/>
  <c r="C15" i="2"/>
  <c r="D15" i="2"/>
  <c r="B15" i="2"/>
  <c r="H7" i="1"/>
  <c r="I7" i="1"/>
  <c r="H8" i="1"/>
  <c r="I8" i="1"/>
  <c r="H9" i="1"/>
  <c r="I9" i="1"/>
  <c r="H10" i="1"/>
  <c r="I10" i="1"/>
  <c r="H11" i="1"/>
  <c r="I11" i="1"/>
  <c r="H12" i="1"/>
  <c r="I12" i="1"/>
  <c r="H13" i="1"/>
  <c r="I13" i="1"/>
  <c r="H14" i="1"/>
  <c r="I14" i="1"/>
  <c r="H15" i="1"/>
  <c r="I15" i="1"/>
  <c r="H16" i="1"/>
  <c r="I16" i="1"/>
  <c r="H17" i="1"/>
  <c r="I17" i="1"/>
  <c r="H18" i="1"/>
  <c r="I18" i="1"/>
  <c r="H19" i="1"/>
  <c r="I19" i="1"/>
  <c r="H20" i="1"/>
  <c r="I20" i="1"/>
  <c r="H21" i="1"/>
  <c r="I21" i="1"/>
  <c r="H22" i="1"/>
  <c r="I22" i="1"/>
  <c r="H23" i="1"/>
  <c r="I23" i="1"/>
  <c r="H30" i="1"/>
  <c r="I30" i="1"/>
  <c r="H31" i="1"/>
  <c r="I31" i="1"/>
  <c r="H34" i="1"/>
  <c r="I34" i="1"/>
  <c r="H35" i="1"/>
  <c r="I35" i="1"/>
  <c r="H42" i="1"/>
  <c r="I42" i="1"/>
  <c r="H43" i="1"/>
  <c r="I43" i="1"/>
  <c r="H47" i="1"/>
  <c r="I47" i="1"/>
  <c r="H48" i="1"/>
  <c r="I48" i="1"/>
  <c r="H49" i="1"/>
  <c r="I49"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I72" i="1"/>
  <c r="H73" i="1"/>
  <c r="I73" i="1"/>
  <c r="H74" i="1"/>
  <c r="I74" i="1"/>
  <c r="H75" i="1"/>
  <c r="I75" i="1"/>
  <c r="H76" i="1"/>
  <c r="I76"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1" i="1"/>
  <c r="I91" i="1"/>
  <c r="H92" i="1"/>
  <c r="I92" i="1"/>
  <c r="H93" i="1"/>
  <c r="I93" i="1"/>
  <c r="H94" i="1"/>
  <c r="I94" i="1"/>
  <c r="H95" i="1"/>
  <c r="I95" i="1"/>
  <c r="H96" i="1"/>
  <c r="I96" i="1"/>
  <c r="H97" i="1"/>
  <c r="I97" i="1"/>
  <c r="H98" i="1"/>
  <c r="I98" i="1"/>
  <c r="H99" i="1"/>
  <c r="I99" i="1"/>
  <c r="H100" i="1"/>
  <c r="I100" i="1"/>
  <c r="H101" i="1"/>
  <c r="I101" i="1"/>
  <c r="H102" i="1"/>
  <c r="I102" i="1"/>
  <c r="H103" i="1"/>
  <c r="I103" i="1"/>
  <c r="H104" i="1"/>
  <c r="I104" i="1"/>
  <c r="H105" i="1"/>
  <c r="I105" i="1"/>
  <c r="H106" i="1"/>
  <c r="I106" i="1"/>
  <c r="H107" i="1"/>
  <c r="I107" i="1"/>
  <c r="H108" i="1"/>
  <c r="I108" i="1"/>
  <c r="H109" i="1"/>
  <c r="I109" i="1"/>
  <c r="H110" i="1"/>
  <c r="I110" i="1"/>
  <c r="H111" i="1"/>
  <c r="I111" i="1"/>
  <c r="H112" i="1"/>
  <c r="I112" i="1"/>
  <c r="H113" i="1"/>
  <c r="I113" i="1"/>
  <c r="H114" i="1"/>
  <c r="I114" i="1"/>
  <c r="I6" i="1"/>
  <c r="H6" i="1"/>
  <c r="D36" i="3"/>
  <c r="E36" i="3"/>
  <c r="C36" i="3"/>
  <c r="D34" i="3" l="1"/>
  <c r="D35" i="3"/>
  <c r="E35" i="3"/>
  <c r="C35" i="3"/>
  <c r="D13" i="3"/>
  <c r="E13" i="3"/>
  <c r="C13" i="3"/>
  <c r="D14" i="3"/>
  <c r="E14" i="3"/>
  <c r="C14" i="3"/>
  <c r="D12" i="3"/>
  <c r="E12" i="3"/>
  <c r="C12" i="3"/>
  <c r="D11" i="3"/>
  <c r="E11" i="3"/>
  <c r="C11" i="3"/>
  <c r="D10" i="3"/>
  <c r="E10" i="3"/>
  <c r="C10" i="3"/>
  <c r="D9" i="3"/>
  <c r="E9" i="3"/>
  <c r="C9" i="3"/>
  <c r="D37" i="3"/>
  <c r="E37" i="3"/>
  <c r="C37" i="3"/>
  <c r="D49" i="3"/>
  <c r="E49" i="3"/>
  <c r="C49" i="3"/>
  <c r="D48" i="3"/>
  <c r="E48" i="3"/>
  <c r="C48" i="3"/>
  <c r="D47" i="3"/>
  <c r="E47" i="3"/>
  <c r="C47" i="3"/>
  <c r="D43" i="3"/>
  <c r="E43" i="3"/>
  <c r="C43" i="3"/>
  <c r="D44" i="3"/>
  <c r="E44" i="3"/>
  <c r="C44" i="3"/>
  <c r="D41" i="3"/>
  <c r="E41" i="3"/>
  <c r="C41" i="3"/>
  <c r="D26" i="3"/>
  <c r="E26" i="3"/>
  <c r="C26" i="3"/>
  <c r="D25" i="3"/>
  <c r="E25" i="3"/>
  <c r="C25" i="3"/>
  <c r="D22" i="3"/>
  <c r="E22" i="3"/>
  <c r="C22" i="3"/>
  <c r="D18" i="3"/>
  <c r="D19" i="3"/>
  <c r="E19" i="3"/>
  <c r="E18" i="3" s="1"/>
  <c r="C19" i="3"/>
  <c r="C18" i="3" s="1"/>
  <c r="D21" i="3"/>
  <c r="D20" i="3" s="1"/>
  <c r="E21" i="3"/>
  <c r="E20" i="3" s="1"/>
  <c r="C21" i="3"/>
  <c r="C20" i="3" s="1"/>
  <c r="C17" i="3"/>
  <c r="D17" i="3"/>
  <c r="E17" i="3"/>
  <c r="E30" i="2" a="1"/>
  <c r="E30" i="2" s="1"/>
  <c r="D8" i="3"/>
  <c r="E8" i="3"/>
  <c r="D7" i="3"/>
  <c r="E7" i="3"/>
  <c r="C7" i="3"/>
  <c r="D6" i="3"/>
  <c r="E6" i="3"/>
  <c r="C6" i="3"/>
  <c r="E5" i="3"/>
  <c r="D5" i="3"/>
  <c r="C5" i="3"/>
  <c r="D108" i="1"/>
  <c r="C108" i="1"/>
  <c r="B108" i="1"/>
  <c r="D99" i="1"/>
  <c r="C99" i="1"/>
  <c r="B99" i="1"/>
  <c r="J29" i="2" a="1"/>
  <c r="H29" i="2" a="1"/>
  <c r="F29" i="2" a="1"/>
  <c r="C46" i="3" l="1"/>
  <c r="C42" i="3"/>
  <c r="C50" i="3"/>
  <c r="C40" i="3"/>
  <c r="D50" i="3"/>
  <c r="D42" i="3"/>
  <c r="D40" i="3"/>
  <c r="D46" i="3"/>
  <c r="E40" i="3"/>
  <c r="E50" i="3"/>
  <c r="E42" i="3"/>
  <c r="E46" i="3"/>
  <c r="J29" i="2"/>
  <c r="H29" i="2"/>
  <c r="F29" i="2"/>
  <c r="D68" i="1"/>
  <c r="C68" i="1"/>
  <c r="B68" i="1"/>
  <c r="D61" i="1"/>
  <c r="C61" i="1"/>
  <c r="B61" i="1"/>
  <c r="D56" i="1"/>
  <c r="C56" i="1"/>
  <c r="C62" i="1" s="1"/>
  <c r="B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C13" i="1"/>
  <c r="C18" i="1" s="1"/>
  <c r="C20" i="1" s="1"/>
  <c r="C22" i="1" s="1"/>
  <c r="C76" i="1" s="1"/>
  <c r="C91" i="1" s="1"/>
  <c r="C109" i="1" s="1"/>
  <c r="B62" i="1"/>
  <c r="B69" i="1" s="1"/>
  <c r="B18" i="1"/>
  <c r="B20" i="1" s="1"/>
  <c r="B22" i="1" s="1"/>
  <c r="B76" i="1" s="1"/>
  <c r="B91" i="1" s="1"/>
  <c r="B109" i="1" s="1"/>
  <c r="C48" i="1"/>
  <c r="D62" i="1"/>
  <c r="D69" i="1" s="1"/>
  <c r="C69" i="1"/>
  <c r="D48"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l="1"/>
  <c r="A39" i="3"/>
  <c r="A40" i="3" s="1"/>
  <c r="A41" i="3" s="1"/>
  <c r="A42" i="3" s="1"/>
  <c r="A43" i="3" s="1"/>
  <c r="A44" i="3" s="1"/>
  <c r="A46" i="3" s="1"/>
  <c r="A48" i="3" s="1"/>
  <c r="A50" i="3" s="1"/>
  <c r="A34" i="3"/>
  <c r="A35" i="3" s="1"/>
  <c r="A36" i="3" s="1"/>
  <c r="A37"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7">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futureMetadata>
  <cellMetadata count="1">
    <bk>
      <rc t="1" v="0"/>
    </bk>
  </cellMetadata>
  <valueMetadata count="7">
    <bk>
      <rc t="2" v="0"/>
    </bk>
    <bk>
      <rc t="2" v="1"/>
    </bk>
    <bk>
      <rc t="2" v="2"/>
    </bk>
    <bk>
      <rc t="2" v="3"/>
    </bk>
    <bk>
      <rc t="2" v="4"/>
    </bk>
    <bk>
      <rc t="2" v="5"/>
    </bk>
    <bk>
      <rc t="2" v="6"/>
    </bk>
  </valueMetadata>
</metadata>
</file>

<file path=xl/sharedStrings.xml><?xml version="1.0" encoding="utf-8"?>
<sst xmlns="http://schemas.openxmlformats.org/spreadsheetml/2006/main" count="236" uniqueCount="204">
  <si>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</si>
  <si>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</si>
  <si>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</si>
  <si>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</si>
  <si>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</si>
  <si>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</si>
  <si>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</si>
  <si>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</si>
  <si>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</si>
  <si>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</si>
  <si>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</si>
  <si>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</si>
  <si>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</si>
  <si>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</si>
  <si>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</si>
  <si>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</si>
  <si>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</si>
  <si>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</si>
  <si>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</si>
  <si>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</si>
  <si>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</si>
  <si>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</si>
  <si>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</si>
  <si>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</si>
  <si>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</si>
  <si>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</si>
  <si>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</si>
  <si>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</si>
  <si>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</si>
  <si>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</si>
  <si>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</si>
  <si>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</si>
  <si>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</si>
  <si>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</si>
  <si>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</si>
  <si>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</si>
  <si>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</si>
  <si>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</si>
  <si>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</si>
  <si>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</si>
  <si>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</si>
  <si>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</si>
  <si>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</si>
  <si>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</si>
  <si>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</si>
  <si>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</si>
  <si>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</si>
  <si>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</si>
  <si>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</si>
  <si>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</si>
  <si>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</si>
  <si>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</si>
  <si>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</si>
  <si>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</si>
  <si>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</si>
  <si>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</si>
  <si>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</si>
  <si>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</si>
  <si>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</si>
  <si>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</si>
  <si>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</si>
  <si>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</si>
  <si>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</si>
  <si>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</si>
  <si>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</si>
  <si>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</si>
  <si>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</si>
  <si>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</si>
  <si>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</si>
  <si>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</si>
  <si>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</si>
  <si>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</si>
  <si>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</si>
  <si>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</si>
  <si>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</si>
  <si>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</si>
  <si>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</si>
  <si>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</si>
  <si>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</si>
  <si>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</si>
  <si>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</si>
  <si>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</si>
  <si>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</si>
  <si>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</si>
  <si>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</si>
  <si>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</si>
  <si>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</si>
  <si>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</si>
  <si>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</si>
  <si>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</si>
  <si>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</si>
  <si>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</si>
  <si>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</si>
  <si>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</si>
  <si>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</si>
  <si>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</si>
  <si>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</si>
  <si>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</si>
  <si>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</si>
  <si>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</si>
  <si>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</si>
  <si>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</si>
  <si>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</si>
  <si>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</si>
  <si>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</si>
  <si>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</si>
  <si>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</si>
  <si>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</si>
  <si>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</si>
  <si>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</si>
  <si>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</si>
  <si>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</si>
  <si>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</si>
  <si>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</si>
  <si>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</si>
  <si>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</si>
  <si>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</si>
  <si>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</si>
  <si>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</si>
  <si>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</si>
  <si>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</si>
  <si>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</si>
  <si>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</si>
  <si>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</si>
  <si>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</si>
  <si>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</si>
  <si>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</si>
  <si>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</si>
  <si>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</si>
  <si>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</si>
  <si>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</si>
  <si>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</si>
  <si>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</si>
  <si>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</si>
  <si>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</si>
  <si>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</si>
  <si>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</si>
  <si>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</si>
  <si>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</si>
  <si>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</si>
  <si>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</si>
  <si>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</si>
  <si>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</si>
  <si>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</si>
  <si>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</si>
  <si>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</si>
  <si>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</si>
  <si>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</si>
  <si>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</si>
  <si>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Quick Assets = Cash + Cash Equivalents + Marketable Securities + Net Accounts Receivable</t>
  </si>
  <si>
    <t>Current Assets / Current Liabilities</t>
  </si>
  <si>
    <t>Quick Assets / Current Liabilities</t>
  </si>
  <si>
    <t>Operating Income + Depreciation &amp; Amortization</t>
  </si>
  <si>
    <t>OR</t>
  </si>
  <si>
    <t>Net Income + Interest + Taxes</t>
  </si>
  <si>
    <t>Cash + Cash Equivalents / Current Liabilities</t>
  </si>
  <si>
    <t>Net Sales − COGS</t>
  </si>
  <si>
    <t>EBITDA / Gross Margin</t>
  </si>
  <si>
    <t>EBIT / Gross Margin</t>
  </si>
  <si>
    <t>Net Income / Gross Income</t>
  </si>
  <si>
    <t>IN MILLIONS</t>
  </si>
  <si>
    <t>EBIT / Interest Expense</t>
  </si>
  <si>
    <t>(Net Income - Preferred Dividends) / Average Outstanding Common Shares</t>
  </si>
  <si>
    <t>(Total Equity - Preferred Equity) / Total Shares Outstanding</t>
  </si>
  <si>
    <t>Dividend Paid / Net Income</t>
  </si>
  <si>
    <t>Dividend Paid / Total Shares Outstanding</t>
  </si>
  <si>
    <t>Dividend Per Share / Share Price</t>
  </si>
  <si>
    <t>Share Price / Book Value per Share</t>
  </si>
  <si>
    <t>Share Price / EPS</t>
  </si>
  <si>
    <t>Net Income / Average Shareholders Equity</t>
  </si>
  <si>
    <t>EBIT / Capital Employed</t>
  </si>
  <si>
    <t>Capital Employed = Total Assets - Current Liabilities</t>
  </si>
  <si>
    <t>Net Income / Total Assets</t>
  </si>
  <si>
    <t>EV / EBITDA</t>
  </si>
  <si>
    <t>IN DOLLARS</t>
  </si>
  <si>
    <t>Net Sales / Average Fixed Assets</t>
  </si>
  <si>
    <t>Current Assets / Daily Operational Expenses</t>
  </si>
  <si>
    <t>Daily Operational Expenses = (Annual Operating Expenses - Noncash Charges) / 365</t>
  </si>
  <si>
    <t>(Average Inventory / COGS) x 365</t>
  </si>
  <si>
    <t>SHARE PRICES ON 30/09 OF EACH YEAR</t>
  </si>
  <si>
    <t>(Accounts Payable / COGS) x 365</t>
  </si>
  <si>
    <t>(Accounts Receivable / Total Net Sales) x 365</t>
  </si>
  <si>
    <t>Inventory Days + Receivable Days - Payable Days</t>
  </si>
  <si>
    <t>Current Assets - Current Liabilities</t>
  </si>
  <si>
    <t>Working Capital / Total Net Sales</t>
  </si>
  <si>
    <t>Net Sales / Average Total Assets</t>
  </si>
  <si>
    <t>Average Fixed Assets = (Opening Balance + Closing Balance) / 2</t>
  </si>
  <si>
    <t>COGS / Average Inventory</t>
  </si>
  <si>
    <t>need 2019 data</t>
  </si>
  <si>
    <t>GROWTH</t>
  </si>
  <si>
    <t>Today</t>
  </si>
  <si>
    <t>In "Financial Statements"</t>
  </si>
  <si>
    <t>* Selling, general and administrative</t>
  </si>
  <si>
    <t>* Research and development</t>
  </si>
  <si>
    <t>Net Operating Income/ (Interest + Debt repayment)</t>
  </si>
  <si>
    <t>Operating Income</t>
  </si>
  <si>
    <t>Solvency / debt management</t>
  </si>
  <si>
    <t>Total Liabilities / Total Assets</t>
  </si>
  <si>
    <t>Total Liabilities​​ / Total Shareholders Equity</t>
  </si>
  <si>
    <t>Non-Current Liabilities / Non-Current Liabilities + Shareholders Equity</t>
  </si>
  <si>
    <t>Net Debt = Short-term + Long-term debt - cash and cash equivalents</t>
  </si>
  <si>
    <t>Cash from operations + Capex + Net debt issued</t>
  </si>
  <si>
    <t>Average Total Assets = (Total Asset Current Year + Total Asset Previous Year) / 2</t>
  </si>
  <si>
    <t>Market Cap + Total Debt - (Cash + Cash Equivalents)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</si>
</sst>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76" formatCode="_([$$-409]* #,##0.00_);_([$$-409]* \(#,##0.00\);_([$$-409]* &quot;-&quot;??_);_(@_)"/>
    <numFmt numFmtId="180" formatCode="_([$$-409]* #,##0_);_([$$-409]* \(#,##0\);_([$$-409]*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i/>
      <sz val="11"/>
      <color theme="1"/>
      <name val="Calibri"/>
      <family val="2"/>
      <scheme val="minor"/>
    </font>
    <font>
      <b/>
      <sz val="18"/>
      <color rgb="FF111111"/>
      <name val="Arial"/>
      <family val="2"/>
    </font>
    <font>
      <sz val="10"/>
      <color theme="0"/>
      <name val="Calibri"/>
      <family val="2"/>
      <scheme val="minor"/>
    </font>
    <font>
      <i/>
      <sz val="11"/>
      <color theme="1"/>
      <name val="Calibri"/>
      <family val="2"/>
      <scheme val="minor"/>
    </font>
    <font>
      <sz val="13"/>
      <color theme="1"/>
      <name val="Arial"/>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0" fontId="2" fillId="0" borderId="0" xfId="0" applyFont="1" applyAlignment="1">
      <alignment horizontal="center"/>
    </xf>
    <xf numFmtId="0" fontId="2" fillId="0" borderId="0" xfId="0" applyFont="1" applyBorder="1"/>
    <xf numFmtId="164" fontId="0" fillId="0" borderId="3" xfId="1" applyNumberFormat="1" applyFont="1" applyBorder="1"/>
    <xf numFmtId="0" fontId="2" fillId="0" borderId="3" xfId="0" applyFont="1" applyBorder="1" applyAlignment="1">
      <alignment horizontal="left"/>
    </xf>
    <xf numFmtId="0" fontId="2" fillId="0" borderId="0" xfId="0" applyFont="1" applyAlignment="1">
      <alignment horizontal="center"/>
    </xf>
    <xf numFmtId="0" fontId="2" fillId="3" borderId="0" xfId="0" applyFont="1" applyFill="1" applyAlignment="1">
      <alignment horizontal="center"/>
    </xf>
    <xf numFmtId="2" fontId="0" fillId="0" borderId="0" xfId="0" applyNumberFormat="1"/>
    <xf numFmtId="1" fontId="0" fillId="0" borderId="0" xfId="0" applyNumberFormat="1"/>
    <xf numFmtId="176" fontId="0" fillId="0" borderId="0" xfId="0" applyNumberFormat="1"/>
    <xf numFmtId="0" fontId="8" fillId="0" borderId="0" xfId="0" applyFont="1"/>
    <xf numFmtId="176" fontId="8" fillId="0" borderId="0" xfId="0" applyNumberFormat="1" applyFont="1"/>
    <xf numFmtId="0" fontId="9" fillId="0" borderId="0" xfId="0" applyFont="1"/>
    <xf numFmtId="0" fontId="0" fillId="0" borderId="0" xfId="0" applyAlignment="1">
      <alignment horizontal="center"/>
    </xf>
    <xf numFmtId="0" fontId="0" fillId="0" borderId="0" xfId="0" applyAlignment="1">
      <alignment horizontal="left"/>
    </xf>
    <xf numFmtId="180" fontId="0" fillId="0" borderId="0" xfId="3" applyNumberFormat="1" applyFont="1"/>
    <xf numFmtId="10" fontId="0" fillId="0" borderId="0" xfId="4" applyNumberFormat="1" applyFont="1"/>
    <xf numFmtId="17" fontId="0" fillId="0" borderId="0" xfId="0" applyNumberFormat="1"/>
    <xf numFmtId="0" fontId="3" fillId="0" borderId="0" xfId="0" applyFont="1"/>
    <xf numFmtId="0" fontId="10" fillId="0" borderId="0" xfId="0" applyFont="1"/>
    <xf numFmtId="2" fontId="0" fillId="0" borderId="0" xfId="4" applyNumberFormat="1" applyFont="1"/>
    <xf numFmtId="10" fontId="3" fillId="2" borderId="0" xfId="0" applyNumberFormat="1" applyFont="1" applyFill="1"/>
    <xf numFmtId="10" fontId="0" fillId="0" borderId="0" xfId="0" applyNumberFormat="1"/>
    <xf numFmtId="10" fontId="2" fillId="0" borderId="0" xfId="0" applyNumberFormat="1" applyFont="1" applyAlignment="1">
      <alignment horizontal="center"/>
    </xf>
    <xf numFmtId="0" fontId="11" fillId="0" borderId="0" xfId="0" applyFont="1" applyAlignment="1">
      <alignment horizontal="left" indent="1"/>
    </xf>
    <xf numFmtId="10" fontId="2" fillId="0" borderId="1" xfId="4" applyNumberFormat="1" applyFont="1" applyBorder="1"/>
    <xf numFmtId="10" fontId="2" fillId="0" borderId="2" xfId="4" applyNumberFormat="1" applyFont="1" applyBorder="1"/>
    <xf numFmtId="10" fontId="0" fillId="0" borderId="3" xfId="4" applyNumberFormat="1" applyFont="1" applyBorder="1"/>
    <xf numFmtId="10" fontId="2" fillId="0" borderId="0" xfId="4" applyNumberFormat="1" applyFont="1"/>
    <xf numFmtId="0" fontId="11" fillId="0" borderId="0" xfId="0" applyFont="1"/>
    <xf numFmtId="0" fontId="12" fillId="0" borderId="0" xfId="0" applyFont="1"/>
  </cellXfs>
  <cellStyles count="5">
    <cellStyle name="Comma" xfId="1" builtinId="3"/>
    <cellStyle name="Currency" xfId="3" builtinId="4"/>
    <cellStyle name="Hyperlink" xfId="2" builtinId="8"/>
    <cellStyle name="Normal" xfId="0" builtinId="0"/>
    <cellStyle name="Per 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SupportingPropertyBag" Target="richData/rdsupportingpropertybag.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ichStyles" Target="richData/richStyles.xml"/><Relationship Id="rId5" Type="http://schemas.openxmlformats.org/officeDocument/2006/relationships/styles" Target="styles.xml"/><Relationship Id="rId15" Type="http://schemas.openxmlformats.org/officeDocument/2006/relationships/calcChain" Target="calcChain.xml"/><Relationship Id="rId10" Type="http://schemas.microsoft.com/office/2017/06/relationships/rdArray" Target="richData/rdarray.xml"/><Relationship Id="rId4" Type="http://schemas.openxmlformats.org/officeDocument/2006/relationships/theme" Target="theme/theme1.xml"/><Relationship Id="rId9" Type="http://schemas.microsoft.com/office/2017/06/relationships/rdRichValueStructure" Target="richData/rdrichvaluestructure.xml"/><Relationship Id="rId14" Type="http://schemas.microsoft.com/office/2017/06/relationships/rdRichValueTypes" Target="richData/rdRichValueTypes.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4">
  <a r="1">
    <v t="i">0</v>
  </a>
  <a r="1">
    <v>138.19999999999999</v>
  </a>
  <a r="1">
    <v>141.5</v>
  </a>
  <a r="1">
    <v>115.81</v>
  </a>
</arrayData>
</file>

<file path=xl/richData/rdrichvalue.xml><?xml version="1.0" encoding="utf-8"?>
<rvData xmlns="http://schemas.microsoft.com/office/spreadsheetml/2017/richdata" count="12">
  <rv s="0">
    <v>https://www.bing.com/financeapi/forcetrigger?t=a1mou2&amp;q=XNAS%3aAAPL&amp;form=skydnc</v>
    <v>Learn more on Bing</v>
  </rv>
  <rv s="1">
    <v>0</v>
    <v>APPLE INC. (XNAS:AAPL)</v>
    <v>2</v>
    <v>3</v>
    <v>Finance</v>
    <v>4</v>
    <v>en-GB</v>
    <v>a1mou2</v>
    <v>268435456</v>
    <v>1</v>
    <v>Powered by Refinitiv</v>
    <v>176.39</v>
    <v>124.17</v>
    <v>1.2903</v>
    <v>-2.64</v>
    <v>-1.5155E-2</v>
    <v>USD</v>
    <v>Apple Inc. (Apple) designs, manufactures and markets smartphones, personal computers, tablets, wearables and accessories and sells a range of related services. The Company’s products include iPhone, Mac, iPad, AirPods, Apple TV, Apple Watch, Beats products, HomePod, iPod touch and accessories. The Company operates various platforms, including the App Store, which allows customers to discover and download applications and digital content, such as books, music, video, games and podcasts. Apple offers digital content through subscription-based services, including Apple Arcade, Apple Music, Apple News+, Apple TV+ and Apple Fitness+. Apple also offers a range of other services, such as AppleCare, iCloud, Apple Card and Apple Pay. Apple sells its products and resells third-party products in a range of markets, including directly to consumers, small and mid-sized businesses, and education, enterprise and government customers through its retail and online stores and its direct sales force.</v>
    <v>164000</v>
    <v>Nasdaq Stock Market</v>
    <v>XNAS</v>
    <v>XNAS</v>
    <v>One Apple Park Way, CUPERTINO, CA, 95014 US</v>
    <v>173.3794</v>
    <v>Computers, Phones &amp; Household Electronics</v>
    <v>Stock</v>
    <v>45069.999954189065</v>
    <v>0</v>
    <v>171.27500000000001</v>
    <v>2698415772000</v>
    <v>APPLE INC.</v>
    <v>APPLE INC.</v>
    <v>173.13</v>
    <v>29.093599999999999</v>
    <v>174.2</v>
    <v>171.56</v>
    <v>15728700000</v>
    <v>AAPL</v>
    <v>APPLE INC. (XNAS:AAPL)</v>
    <v>146857</v>
    <v>55110734</v>
    <v>1977</v>
  </rv>
  <rv s="2">
    <v>1</v>
  </rv>
  <rv s="3">
    <fb>44834</fb>
    <v>5</v>
  </rv>
  <rv s="3">
    <fb>138.19999999999999</fb>
    <v>6</v>
  </rv>
  <rv s="3">
    <fb>44469</fb>
    <v>5</v>
  </rv>
  <rv s="3">
    <fb>141.5</fb>
    <v>6</v>
  </rv>
  <rv s="3">
    <fb>44104</fb>
    <v>5</v>
  </rv>
  <rv s="3">
    <fb>115.81</fb>
    <v>6</v>
  </rv>
  <rv s="4">
    <v>7</v>
    <v>AAPL</v>
    <v>Daily</v>
    <v>44834</v>
    <v>44834</v>
    <v>0</v>
    <v>1</v>
    <v>638000928000000000,638205353247135455,0</v>
    <v>0</v>
    <v>a1mou2</v>
    <v>XNAS:AAPL</v>
    <v>1</v>
  </rv>
  <rv s="4">
    <v>7</v>
    <v>AAPL</v>
    <v>Daily</v>
    <v>44469</v>
    <v>44469</v>
    <v>0</v>
    <v>1</v>
    <v>637685568000000000,638205353342361793,0</v>
    <v>0</v>
    <v>a1mou2</v>
    <v>XNAS:AAPL</v>
    <v>2</v>
  </rv>
  <rv s="4">
    <v>7</v>
    <v>AAPL</v>
    <v>Daily</v>
    <v>44104</v>
    <v>44104</v>
    <v>0</v>
    <v>1</v>
    <v>637370208000000000,638205353355514571,0</v>
    <v>0</v>
    <v>a1mou2</v>
    <v>XNAS:AAPL</v>
    <v>3</v>
  </rv>
</rvData>
</file>

<file path=xl/richData/rdrichvaluestructure.xml><?xml version="1.0" encoding="utf-8"?>
<rvStructures xmlns="http://schemas.microsoft.com/office/spreadsheetml/2017/richdata" count="5">
  <s t="_hyperlink">
    <k n="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formattednumber">
    <k n="_Format" t="spb"/>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1">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8">
    <spb s="0">
      <v>0</v>
      <v>Name</v>
      <v>LearnMoreOnLink</v>
    </spb>
    <spb s="1">
      <v>0</v>
      <v>0</v>
      <v>0</v>
    </spb>
    <spb s="2">
      <v>1</v>
      <v>1</v>
      <v>1</v>
      <v>1</v>
    </spb>
    <spb s="3">
      <v>1</v>
      <v>2</v>
      <v>2</v>
      <v>1</v>
      <v>3</v>
      <v>1</v>
      <v>1</v>
      <v>1</v>
      <v>4</v>
      <v>4</v>
      <v>5</v>
      <v>6</v>
      <v>1</v>
      <v>1</v>
      <v>1</v>
      <v>4</v>
      <v>7</v>
      <v>8</v>
      <v>9</v>
      <v>4</v>
    </spb>
    <spb s="4">
      <v>Real-Time Nasdaq Last Sale</v>
      <v>from previous close</v>
      <v>from previous close</v>
      <v>Source: Nasdaq Last Sale</v>
      <v>GMT</v>
    </spb>
    <spb s="5">
      <v>10</v>
    </spb>
    <spb s="5">
      <v>1</v>
    </spb>
    <spb s="6">
      <v>10</v>
      <v>1</v>
    </spb>
  </spbData>
</supportingPropertyBags>
</file>

<file path=xl/richData/rdsupportingpropertybagstructure.xml><?xml version="1.0" encoding="utf-8"?>
<spbStructures xmlns="http://schemas.microsoft.com/office/spreadsheetml/2017/richdata2" count="7">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dd/mm/yyyy\ h:mm"/>
    </x:dxf>
    <x:dxf>
      <x:numFmt numFmtId="14" formatCode="0.00%"/>
    </x:dxf>
    <x:dxf>
      <x:numFmt numFmtId="3" formatCode="#,##0"/>
    </x:dxf>
    <x:dxf>
      <x:numFmt numFmtId="4" formatCode="#,##0.00"/>
    </x:dxf>
    <x:dxf>
      <x:numFmt numFmtId="1" formatCode="0"/>
    </x:dxf>
    <x:dxf>
      <x:numFmt numFmtId="19" formatCode="dd/mm/yyyy"/>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Sty dxfid="7"/>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topLeftCell="A7" zoomScaleNormal="100" workbookViewId="0">
      <selection activeCell="B15" sqref="B15"/>
    </sheetView>
  </sheetViews>
  <sheetFormatPr baseColWidth="10" defaultColWidth="8.83203125" defaultRowHeight="15" x14ac:dyDescent="0.2"/>
  <cols>
    <col min="1" max="1" width="104.5" customWidth="1"/>
    <col min="2" max="4" width="9" bestFit="1" customWidth="1"/>
    <col min="5" max="6" width="9.33203125" bestFit="1" customWidth="1"/>
    <col min="7" max="7" width="9" bestFit="1" customWidth="1"/>
    <col min="8" max="8" width="9.33203125" bestFit="1" customWidth="1"/>
    <col min="9" max="9" width="9" bestFit="1" customWidth="1"/>
    <col min="10" max="10" width="9.33203125" bestFit="1" customWidth="1"/>
    <col min="11" max="11" width="9" bestFit="1" customWidth="1"/>
  </cols>
  <sheetData>
    <row r="1" spans="1:4" ht="24" x14ac:dyDescent="0.3">
      <c r="A1" s="5" t="s">
        <v>87</v>
      </c>
    </row>
    <row r="3" spans="1:4" x14ac:dyDescent="0.2">
      <c r="A3" s="7" t="s">
        <v>140</v>
      </c>
    </row>
    <row r="4" spans="1:4" x14ac:dyDescent="0.2">
      <c r="A4" s="16" t="s">
        <v>88</v>
      </c>
    </row>
    <row r="5" spans="1:4" x14ac:dyDescent="0.2">
      <c r="A5" s="7" t="s">
        <v>97</v>
      </c>
    </row>
    <row r="6" spans="1:4" x14ac:dyDescent="0.2">
      <c r="A6" s="1" t="s">
        <v>147</v>
      </c>
    </row>
    <row r="7" spans="1:4" x14ac:dyDescent="0.2">
      <c r="A7" s="1"/>
    </row>
    <row r="8" spans="1:4" x14ac:dyDescent="0.2">
      <c r="A8" s="17" t="s">
        <v>148</v>
      </c>
    </row>
    <row r="9" spans="1:4" x14ac:dyDescent="0.2">
      <c r="A9" s="1" t="s">
        <v>144</v>
      </c>
      <c r="B9" s="49" t="s">
        <v>191</v>
      </c>
    </row>
    <row r="10" spans="1:4" x14ac:dyDescent="0.2">
      <c r="A10" s="1" t="s">
        <v>89</v>
      </c>
      <c r="B10" s="49" t="s">
        <v>191</v>
      </c>
    </row>
    <row r="11" spans="1:4" x14ac:dyDescent="0.2">
      <c r="A11" s="1" t="s">
        <v>90</v>
      </c>
      <c r="B11" s="49" t="s">
        <v>191</v>
      </c>
    </row>
    <row r="12" spans="1:4" x14ac:dyDescent="0.2">
      <c r="A12" s="1" t="s">
        <v>91</v>
      </c>
      <c r="B12" s="49" t="s">
        <v>191</v>
      </c>
    </row>
    <row r="13" spans="1:4" x14ac:dyDescent="0.2">
      <c r="A13" s="1"/>
    </row>
    <row r="14" spans="1:4" x14ac:dyDescent="0.2">
      <c r="A14" s="17" t="s">
        <v>92</v>
      </c>
      <c r="B14" s="21">
        <v>2022</v>
      </c>
      <c r="C14" s="21">
        <v>2021</v>
      </c>
      <c r="D14" s="21">
        <v>2020</v>
      </c>
    </row>
    <row r="15" spans="1:4" x14ac:dyDescent="0.2">
      <c r="A15" s="1" t="s">
        <v>145</v>
      </c>
      <c r="B15" s="36">
        <f>'Financial Statements'!B12/'Financial Statements'!B8</f>
        <v>0.56690369438639909</v>
      </c>
      <c r="C15" s="36">
        <f>'Financial Statements'!C12/'Financial Statements'!C8</f>
        <v>0.58220640374832222</v>
      </c>
      <c r="D15" s="36">
        <f>'Financial Statements'!D12/'Financial Statements'!D8</f>
        <v>0.61766752272189129</v>
      </c>
    </row>
    <row r="16" spans="1:4" x14ac:dyDescent="0.2">
      <c r="A16" s="1" t="s">
        <v>89</v>
      </c>
      <c r="B16" s="36">
        <f>'Financial Statements'!B13/'Financial Statements'!B8</f>
        <v>0.43309630561360085</v>
      </c>
      <c r="C16" s="36">
        <f>'Financial Statements'!C13/'Financial Statements'!C8</f>
        <v>0.41779359625167778</v>
      </c>
      <c r="D16" s="36">
        <f>'Financial Statements'!D13/'Financial Statements'!D8</f>
        <v>0.38233247727810865</v>
      </c>
    </row>
    <row r="17" spans="1:11" x14ac:dyDescent="0.2">
      <c r="A17" s="1" t="s">
        <v>90</v>
      </c>
      <c r="B17" s="42"/>
      <c r="C17" s="42"/>
      <c r="D17" s="42"/>
    </row>
    <row r="18" spans="1:11" x14ac:dyDescent="0.2">
      <c r="A18" s="44" t="s">
        <v>193</v>
      </c>
      <c r="B18" s="36">
        <f>'Financial Statements'!B15/'Financial Statements'!B8</f>
        <v>6.657148363798665E-2</v>
      </c>
      <c r="C18" s="36">
        <f>'Financial Statements'!C15/'Financial Statements'!C8</f>
        <v>5.9904269074427925E-2</v>
      </c>
      <c r="D18" s="36">
        <f>'Financial Statements'!D15/'Financial Statements'!D8</f>
        <v>6.8309564140393061E-2</v>
      </c>
    </row>
    <row r="19" spans="1:11" x14ac:dyDescent="0.2">
      <c r="A19" s="44" t="s">
        <v>192</v>
      </c>
      <c r="B19" s="36">
        <f>'Financial Statements'!B16/'Financial Statements'!B8</f>
        <v>6.3637378020328261E-2</v>
      </c>
      <c r="C19" s="36">
        <f>'Financial Statements'!C16/'Financial Statements'!C8</f>
        <v>6.006555190163388E-2</v>
      </c>
      <c r="D19" s="36">
        <f>'Financial Statements'!D16/'Financial Statements'!D8</f>
        <v>7.2549769593646979E-2</v>
      </c>
    </row>
    <row r="20" spans="1:11" x14ac:dyDescent="0.2">
      <c r="A20" s="1" t="s">
        <v>14</v>
      </c>
      <c r="B20" s="36">
        <f>'Financial Statements'!B18/'Financial Statements'!B8</f>
        <v>0.30288744395528594</v>
      </c>
      <c r="C20" s="36">
        <f>'Financial Statements'!C18/'Financial Statements'!C8</f>
        <v>0.29782377527561593</v>
      </c>
      <c r="D20" s="36">
        <f>'Financial Statements'!D18/'Financial Statements'!D8</f>
        <v>0.24147314354406862</v>
      </c>
    </row>
    <row r="21" spans="1:11" x14ac:dyDescent="0.2">
      <c r="A21" s="1" t="s">
        <v>93</v>
      </c>
      <c r="B21" s="36">
        <f>'Financial Statements'!B22/'Financial Statements'!B8</f>
        <v>0.25309640705199732</v>
      </c>
      <c r="C21" s="36">
        <f>'Financial Statements'!C22/'Financial Statements'!C8</f>
        <v>0.25881793355694238</v>
      </c>
      <c r="D21" s="36">
        <f>'Financial Statements'!D22/'Financial Statements'!D8</f>
        <v>0.20913611278072236</v>
      </c>
    </row>
    <row r="22" spans="1:11" x14ac:dyDescent="0.2">
      <c r="A22" s="1"/>
    </row>
    <row r="23" spans="1:11" x14ac:dyDescent="0.2">
      <c r="A23" s="17" t="s">
        <v>98</v>
      </c>
    </row>
    <row r="24" spans="1:11" x14ac:dyDescent="0.2">
      <c r="A24" s="1" t="s">
        <v>94</v>
      </c>
      <c r="B24" s="36">
        <f>'Financial Statements'!B113/'Financial Statements'!B22</f>
        <v>0.19611634920793963</v>
      </c>
      <c r="C24" s="36">
        <f>'Financial Statements'!C113/'Financial Statements'!C22</f>
        <v>0.26811364596535697</v>
      </c>
      <c r="D24" s="36">
        <f>'Financial Statements'!D113/'Financial Statements'!D22</f>
        <v>0.16549093379317553</v>
      </c>
    </row>
    <row r="25" spans="1:11" x14ac:dyDescent="0.2">
      <c r="A25" s="1" t="s">
        <v>95</v>
      </c>
      <c r="B25" s="36">
        <f>-'Financial Statements'!B96/'Financial Statements'!B8</f>
        <v>2.7155058732831552E-2</v>
      </c>
      <c r="C25" s="36">
        <f>-'Financial Statements'!C96/'Financial Statements'!C8</f>
        <v>3.0302036264033657E-2</v>
      </c>
      <c r="D25" s="36">
        <f>-'Financial Statements'!D96/'Financial Statements'!D8</f>
        <v>2.6625138881299748E-2</v>
      </c>
    </row>
    <row r="26" spans="1:11" x14ac:dyDescent="0.2">
      <c r="A26" s="1" t="s">
        <v>96</v>
      </c>
      <c r="B26" s="36">
        <f>-'Financial Statements'!B96/'Financial Statements'!B45</f>
        <v>0.25424412944891611</v>
      </c>
      <c r="C26" s="36">
        <f>-'Financial Statements'!C96/'Financial Statements'!C45</f>
        <v>0.28105983772819471</v>
      </c>
      <c r="D26" s="36">
        <f>-'Financial Statements'!D96/'Financial Statements'!D45</f>
        <v>0.19879780231735844</v>
      </c>
    </row>
    <row r="27" spans="1:11" x14ac:dyDescent="0.2">
      <c r="A27" s="1"/>
      <c r="B27" s="36"/>
      <c r="C27" s="36"/>
      <c r="D27" s="36"/>
    </row>
    <row r="28" spans="1:11" x14ac:dyDescent="0.2">
      <c r="A28" s="1"/>
      <c r="E28" t="s">
        <v>190</v>
      </c>
      <c r="G28" s="37">
        <v>44834</v>
      </c>
      <c r="I28" s="37">
        <v>44469</v>
      </c>
      <c r="K28" s="37">
        <v>44104</v>
      </c>
    </row>
    <row r="29" spans="1:11" x14ac:dyDescent="0.2">
      <c r="A29" s="17" t="s">
        <v>143</v>
      </c>
      <c r="F29" s="38" t="str" cm="1">
        <f t="array" aca="1" ref="F29:G30" ca="1">_xlfn.STOCKHISTORY("AAPL",G28)</f>
        <v>Date</v>
      </c>
      <c r="G29" s="38" t="str">
        <f ca="1"/>
        <v>Close</v>
      </c>
      <c r="H29" s="38" t="str" cm="1">
        <f t="array" aca="1" ref="H29:I30" ca="1">_xlfn.STOCKHISTORY("AAPL",I28)</f>
        <v>Date</v>
      </c>
      <c r="I29" s="38" t="str">
        <f ca="1"/>
        <v>Close</v>
      </c>
      <c r="J29" s="38" t="str" cm="1">
        <f t="array" aca="1" ref="J29:K30" ca="1">_xlfn.STOCKHISTORY("AAPL",K28)</f>
        <v>Date</v>
      </c>
      <c r="K29" s="38" t="str">
        <f ca="1"/>
        <v>Close</v>
      </c>
    </row>
    <row r="30" spans="1:11" x14ac:dyDescent="0.2">
      <c r="A30" s="16" t="s">
        <v>142</v>
      </c>
      <c r="B30" s="30" t="e" vm="1">
        <v>#VALUE!</v>
      </c>
      <c r="C30" s="30"/>
      <c r="D30" s="30"/>
      <c r="E30" s="31" cm="1">
        <f t="array" ref="E30">_FV(B30,"price")</f>
        <v>171.56</v>
      </c>
      <c r="F30" s="39" vm="2">
        <f ca="1"/>
        <v>44834</v>
      </c>
      <c r="G30" vm="3">
        <f ca="1"/>
        <v>138.19999999999999</v>
      </c>
      <c r="H30" s="39" vm="4">
        <f ca="1"/>
        <v>44469</v>
      </c>
      <c r="I30" vm="5">
        <f ca="1"/>
        <v>141.5</v>
      </c>
      <c r="J30" s="39" vm="6">
        <f ca="1"/>
        <v>44104</v>
      </c>
      <c r="K30" vm="7">
        <f ca="1"/>
        <v>115.81</v>
      </c>
    </row>
    <row r="32" spans="1:11" x14ac:dyDescent="0.2">
      <c r="A32" s="7" t="s">
        <v>146</v>
      </c>
    </row>
  </sheetData>
  <hyperlinks>
    <hyperlink ref="A4" r:id="rId1" xr:uid="{00000000-0004-0000-0000-000000000000}"/>
    <hyperlink ref="A30"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31" zoomScale="109" zoomScaleNormal="110" workbookViewId="0">
      <selection activeCell="K43" sqref="K43"/>
    </sheetView>
  </sheetViews>
  <sheetFormatPr baseColWidth="10" defaultColWidth="8.83203125" defaultRowHeight="15" x14ac:dyDescent="0.2"/>
  <cols>
    <col min="1" max="1" width="59" customWidth="1"/>
    <col min="2" max="3" width="11.5" bestFit="1" customWidth="1"/>
    <col min="4" max="4" width="11.6640625" bestFit="1" customWidth="1"/>
    <col min="8" max="9" width="11" style="42" bestFit="1" customWidth="1"/>
  </cols>
  <sheetData>
    <row r="1" spans="1:10" ht="60" customHeight="1" x14ac:dyDescent="0.2">
      <c r="A1" s="6" t="s">
        <v>0</v>
      </c>
      <c r="B1" s="4" t="s">
        <v>2</v>
      </c>
      <c r="C1" s="4"/>
      <c r="D1" s="4"/>
      <c r="E1" s="4"/>
      <c r="F1" s="4"/>
      <c r="G1" s="4"/>
      <c r="H1" s="41"/>
      <c r="I1" s="41"/>
      <c r="J1" s="4"/>
    </row>
    <row r="2" spans="1:10" x14ac:dyDescent="0.2">
      <c r="A2" s="26" t="s">
        <v>1</v>
      </c>
      <c r="B2" s="26"/>
      <c r="C2" s="26"/>
      <c r="D2" s="26"/>
    </row>
    <row r="3" spans="1:10" x14ac:dyDescent="0.2">
      <c r="B3" s="25" t="s">
        <v>23</v>
      </c>
      <c r="C3" s="25"/>
      <c r="D3" s="25"/>
      <c r="H3" s="43" t="s">
        <v>189</v>
      </c>
      <c r="I3" s="43"/>
    </row>
    <row r="4" spans="1:10" x14ac:dyDescent="0.2">
      <c r="B4" s="7">
        <v>2022</v>
      </c>
      <c r="C4" s="7">
        <v>2021</v>
      </c>
      <c r="D4" s="7">
        <v>2020</v>
      </c>
      <c r="H4" s="7">
        <v>2022</v>
      </c>
      <c r="I4" s="7">
        <v>2021</v>
      </c>
    </row>
    <row r="5" spans="1:10" x14ac:dyDescent="0.2">
      <c r="A5" t="s">
        <v>3</v>
      </c>
      <c r="H5"/>
      <c r="I5"/>
    </row>
    <row r="6" spans="1:10" x14ac:dyDescent="0.2">
      <c r="A6" s="1" t="s">
        <v>4</v>
      </c>
      <c r="B6" s="12">
        <v>316199</v>
      </c>
      <c r="C6" s="12">
        <v>297392</v>
      </c>
      <c r="D6" s="12">
        <v>220747</v>
      </c>
      <c r="H6" s="36">
        <f>IF(B6="","",(B6-C6)/C6)</f>
        <v>6.3239764351428418E-2</v>
      </c>
      <c r="I6" s="36">
        <f>IF(C6="","",(C6-D6)/D6)</f>
        <v>0.34720743656765435</v>
      </c>
    </row>
    <row r="7" spans="1:10" x14ac:dyDescent="0.2">
      <c r="A7" s="1" t="s">
        <v>5</v>
      </c>
      <c r="B7" s="12">
        <v>78129</v>
      </c>
      <c r="C7" s="12">
        <v>68425</v>
      </c>
      <c r="D7" s="12">
        <v>53768</v>
      </c>
      <c r="H7" s="36">
        <f t="shared" ref="H7:H70" si="0">IF(B7="","",(B7-C7)/C7)</f>
        <v>0.14181951041286078</v>
      </c>
      <c r="I7" s="36">
        <f t="shared" ref="I7:I70" si="1">IF(C7="","",(C7-D7)/D7)</f>
        <v>0.27259708376729652</v>
      </c>
    </row>
    <row r="8" spans="1:10" x14ac:dyDescent="0.2">
      <c r="A8" s="8" t="s">
        <v>6</v>
      </c>
      <c r="B8" s="13">
        <f>+B6+B7</f>
        <v>394328</v>
      </c>
      <c r="C8" s="13">
        <f t="shared" ref="C8:D8" si="2">+C6+C7</f>
        <v>365817</v>
      </c>
      <c r="D8" s="13">
        <f t="shared" si="2"/>
        <v>274515</v>
      </c>
      <c r="H8" s="45">
        <f t="shared" si="0"/>
        <v>7.7937876041846058E-2</v>
      </c>
      <c r="I8" s="45">
        <f t="shared" si="1"/>
        <v>0.33259384733074693</v>
      </c>
    </row>
    <row r="9" spans="1:10" x14ac:dyDescent="0.2">
      <c r="A9" t="s">
        <v>7</v>
      </c>
      <c r="B9" s="12"/>
      <c r="C9" s="12"/>
      <c r="D9" s="12"/>
      <c r="H9" s="36" t="str">
        <f t="shared" si="0"/>
        <v/>
      </c>
      <c r="I9" s="36" t="str">
        <f t="shared" si="1"/>
        <v/>
      </c>
    </row>
    <row r="10" spans="1:10" x14ac:dyDescent="0.2">
      <c r="A10" s="1" t="s">
        <v>4</v>
      </c>
      <c r="B10" s="12">
        <v>201471</v>
      </c>
      <c r="C10" s="12">
        <v>192266</v>
      </c>
      <c r="D10" s="12">
        <v>151286</v>
      </c>
      <c r="H10" s="36">
        <f t="shared" si="0"/>
        <v>4.7876379599097081E-2</v>
      </c>
      <c r="I10" s="36">
        <f t="shared" si="1"/>
        <v>0.27087767539626934</v>
      </c>
    </row>
    <row r="11" spans="1:10" x14ac:dyDescent="0.2">
      <c r="A11" s="1" t="s">
        <v>5</v>
      </c>
      <c r="B11" s="12">
        <v>22075</v>
      </c>
      <c r="C11" s="12">
        <v>20715</v>
      </c>
      <c r="D11" s="12">
        <v>18273</v>
      </c>
      <c r="H11" s="36">
        <f t="shared" si="0"/>
        <v>6.5652908520395847E-2</v>
      </c>
      <c r="I11" s="36">
        <f t="shared" si="1"/>
        <v>0.13363979642094895</v>
      </c>
    </row>
    <row r="12" spans="1:10" x14ac:dyDescent="0.2">
      <c r="A12" s="8" t="s">
        <v>8</v>
      </c>
      <c r="B12" s="13">
        <f>+B10+B11</f>
        <v>223546</v>
      </c>
      <c r="C12" s="13">
        <f t="shared" ref="C12:D12" si="3">+C10+C11</f>
        <v>212981</v>
      </c>
      <c r="D12" s="13">
        <f t="shared" si="3"/>
        <v>169559</v>
      </c>
      <c r="H12" s="45">
        <f t="shared" si="0"/>
        <v>4.9605363858747961E-2</v>
      </c>
      <c r="I12" s="45">
        <f t="shared" si="1"/>
        <v>0.25608785142634716</v>
      </c>
    </row>
    <row r="13" spans="1:10" x14ac:dyDescent="0.2">
      <c r="A13" s="8" t="s">
        <v>9</v>
      </c>
      <c r="B13" s="13">
        <f>+B8-B12</f>
        <v>170782</v>
      </c>
      <c r="C13" s="13">
        <f t="shared" ref="C13:D13" si="4">+C8-C12</f>
        <v>152836</v>
      </c>
      <c r="D13" s="13">
        <f t="shared" si="4"/>
        <v>104956</v>
      </c>
      <c r="H13" s="45">
        <f t="shared" si="0"/>
        <v>0.11741997958596143</v>
      </c>
      <c r="I13" s="45">
        <f t="shared" si="1"/>
        <v>0.45619116582186819</v>
      </c>
    </row>
    <row r="14" spans="1:10" x14ac:dyDescent="0.2">
      <c r="A14" t="s">
        <v>10</v>
      </c>
      <c r="B14" s="12"/>
      <c r="C14" s="12"/>
      <c r="D14" s="12"/>
      <c r="H14" s="36" t="str">
        <f t="shared" si="0"/>
        <v/>
      </c>
      <c r="I14" s="36" t="str">
        <f t="shared" si="1"/>
        <v/>
      </c>
    </row>
    <row r="15" spans="1:10" x14ac:dyDescent="0.2">
      <c r="A15" s="1" t="s">
        <v>11</v>
      </c>
      <c r="B15" s="12">
        <v>26251</v>
      </c>
      <c r="C15" s="12">
        <v>21914</v>
      </c>
      <c r="D15" s="12">
        <v>18752</v>
      </c>
      <c r="H15" s="36">
        <f t="shared" si="0"/>
        <v>0.19791001186456147</v>
      </c>
      <c r="I15" s="36">
        <f t="shared" si="1"/>
        <v>0.16862201365187712</v>
      </c>
    </row>
    <row r="16" spans="1:10" x14ac:dyDescent="0.2">
      <c r="A16" s="1" t="s">
        <v>12</v>
      </c>
      <c r="B16" s="12">
        <v>25094</v>
      </c>
      <c r="C16" s="12">
        <v>21973</v>
      </c>
      <c r="D16" s="12">
        <v>19916</v>
      </c>
      <c r="H16" s="36">
        <f t="shared" si="0"/>
        <v>0.14203795567287125</v>
      </c>
      <c r="I16" s="36">
        <f t="shared" si="1"/>
        <v>0.10328379192608958</v>
      </c>
    </row>
    <row r="17" spans="1:9" x14ac:dyDescent="0.2">
      <c r="A17" s="8" t="s">
        <v>13</v>
      </c>
      <c r="B17" s="13">
        <f>+B15+B16</f>
        <v>51345</v>
      </c>
      <c r="C17" s="13">
        <f t="shared" ref="C17" si="5">+C15+C16</f>
        <v>43887</v>
      </c>
      <c r="D17" s="13">
        <f t="shared" ref="D17" si="6">+D15+D16</f>
        <v>38668</v>
      </c>
      <c r="H17" s="45">
        <f t="shared" si="0"/>
        <v>0.16993642764372138</v>
      </c>
      <c r="I17" s="45">
        <f t="shared" si="1"/>
        <v>0.13496948381090307</v>
      </c>
    </row>
    <row r="18" spans="1:9" s="22" customFormat="1" x14ac:dyDescent="0.2">
      <c r="A18" s="8" t="s">
        <v>14</v>
      </c>
      <c r="B18" s="13">
        <f>+B13-B17</f>
        <v>119437</v>
      </c>
      <c r="C18" s="13">
        <f t="shared" ref="C18:D18" si="7">+C13-C17</f>
        <v>108949</v>
      </c>
      <c r="D18" s="13">
        <f t="shared" si="7"/>
        <v>66288</v>
      </c>
      <c r="H18" s="45">
        <f t="shared" si="0"/>
        <v>9.6265225013538444E-2</v>
      </c>
      <c r="I18" s="45">
        <f t="shared" si="1"/>
        <v>0.64357048032826458</v>
      </c>
    </row>
    <row r="19" spans="1:9" x14ac:dyDescent="0.2">
      <c r="A19" t="s">
        <v>15</v>
      </c>
      <c r="B19" s="12">
        <v>-334</v>
      </c>
      <c r="C19" s="12">
        <v>258</v>
      </c>
      <c r="D19" s="12">
        <v>803</v>
      </c>
      <c r="H19" s="36">
        <f t="shared" si="0"/>
        <v>-2.2945736434108528</v>
      </c>
      <c r="I19" s="36">
        <f t="shared" si="1"/>
        <v>-0.67870485678704862</v>
      </c>
    </row>
    <row r="20" spans="1:9" x14ac:dyDescent="0.2">
      <c r="A20" s="8" t="s">
        <v>16</v>
      </c>
      <c r="B20" s="13">
        <f>+B18+B19</f>
        <v>119103</v>
      </c>
      <c r="C20" s="13">
        <f t="shared" ref="C20:D20" si="8">+C18+C19</f>
        <v>109207</v>
      </c>
      <c r="D20" s="13">
        <f t="shared" si="8"/>
        <v>67091</v>
      </c>
      <c r="H20" s="45">
        <f t="shared" si="0"/>
        <v>9.0616901846951203E-2</v>
      </c>
      <c r="I20" s="45">
        <f t="shared" si="1"/>
        <v>0.62774440685039723</v>
      </c>
    </row>
    <row r="21" spans="1:9" x14ac:dyDescent="0.2">
      <c r="A21" t="s">
        <v>17</v>
      </c>
      <c r="B21" s="12">
        <v>19300</v>
      </c>
      <c r="C21" s="12">
        <v>14527</v>
      </c>
      <c r="D21" s="12">
        <v>9680</v>
      </c>
      <c r="H21" s="36">
        <f t="shared" si="0"/>
        <v>0.32856061127555586</v>
      </c>
      <c r="I21" s="36">
        <f t="shared" si="1"/>
        <v>0.50072314049586775</v>
      </c>
    </row>
    <row r="22" spans="1:9" ht="16" thickBot="1" x14ac:dyDescent="0.25">
      <c r="A22" s="9" t="s">
        <v>18</v>
      </c>
      <c r="B22" s="14">
        <f>+B20-B21</f>
        <v>99803</v>
      </c>
      <c r="C22" s="14">
        <f t="shared" ref="C22:D22" si="9">+C20-C21</f>
        <v>94680</v>
      </c>
      <c r="D22" s="14">
        <f t="shared" si="9"/>
        <v>57411</v>
      </c>
      <c r="H22" s="46">
        <f t="shared" si="0"/>
        <v>5.4108576256865229E-2</v>
      </c>
      <c r="I22" s="46">
        <f t="shared" si="1"/>
        <v>0.64916131055024295</v>
      </c>
    </row>
    <row r="23" spans="1:9" ht="16" thickTop="1" x14ac:dyDescent="0.2">
      <c r="A23" t="s">
        <v>19</v>
      </c>
      <c r="H23" t="str">
        <f t="shared" si="0"/>
        <v/>
      </c>
      <c r="I23" t="str">
        <f t="shared" si="1"/>
        <v/>
      </c>
    </row>
    <row r="24" spans="1:9" x14ac:dyDescent="0.2">
      <c r="A24" s="1" t="s">
        <v>20</v>
      </c>
      <c r="B24" s="10">
        <v>6.15</v>
      </c>
      <c r="C24" s="10">
        <v>5.67</v>
      </c>
      <c r="D24" s="10">
        <v>3.31</v>
      </c>
      <c r="H24"/>
      <c r="I24"/>
    </row>
    <row r="25" spans="1:9" x14ac:dyDescent="0.2">
      <c r="A25" s="1" t="s">
        <v>21</v>
      </c>
      <c r="B25" s="10">
        <v>6.11</v>
      </c>
      <c r="C25" s="10">
        <v>5.61</v>
      </c>
      <c r="D25" s="10">
        <v>3.28</v>
      </c>
      <c r="H25"/>
      <c r="I25"/>
    </row>
    <row r="26" spans="1:9" x14ac:dyDescent="0.2">
      <c r="A26" t="s">
        <v>22</v>
      </c>
      <c r="H26"/>
      <c r="I26"/>
    </row>
    <row r="27" spans="1:9" x14ac:dyDescent="0.2">
      <c r="A27" s="1" t="s">
        <v>20</v>
      </c>
      <c r="B27" s="2">
        <v>16215963</v>
      </c>
      <c r="C27" s="2">
        <v>16701272</v>
      </c>
      <c r="D27" s="2">
        <v>17352119</v>
      </c>
      <c r="H27"/>
      <c r="I27"/>
    </row>
    <row r="28" spans="1:9" x14ac:dyDescent="0.2">
      <c r="A28" s="1" t="s">
        <v>21</v>
      </c>
      <c r="B28" s="2">
        <v>16325819</v>
      </c>
      <c r="C28" s="2">
        <v>16864919</v>
      </c>
      <c r="D28" s="2">
        <v>17528214</v>
      </c>
      <c r="H28"/>
      <c r="I28"/>
    </row>
    <row r="29" spans="1:9" x14ac:dyDescent="0.2">
      <c r="H29"/>
      <c r="I29"/>
    </row>
    <row r="30" spans="1:9" x14ac:dyDescent="0.2">
      <c r="H30" t="str">
        <f t="shared" si="0"/>
        <v/>
      </c>
      <c r="I30" t="str">
        <f t="shared" si="1"/>
        <v/>
      </c>
    </row>
    <row r="31" spans="1:9" x14ac:dyDescent="0.2">
      <c r="A31" s="26" t="s">
        <v>24</v>
      </c>
      <c r="B31" s="26"/>
      <c r="C31" s="26"/>
      <c r="D31" s="26"/>
      <c r="H31" s="36" t="str">
        <f t="shared" si="0"/>
        <v/>
      </c>
      <c r="I31" s="36" t="str">
        <f t="shared" si="1"/>
        <v/>
      </c>
    </row>
    <row r="32" spans="1:9" x14ac:dyDescent="0.2">
      <c r="B32" s="25" t="s">
        <v>141</v>
      </c>
      <c r="C32" s="25"/>
      <c r="D32" s="25"/>
      <c r="H32" s="36"/>
      <c r="I32" s="36"/>
    </row>
    <row r="33" spans="1:9" x14ac:dyDescent="0.2">
      <c r="B33" s="7">
        <f>+B4</f>
        <v>2022</v>
      </c>
      <c r="C33" s="7">
        <f t="shared" ref="C33:D33" si="10">+C4</f>
        <v>2021</v>
      </c>
      <c r="D33" s="7">
        <f t="shared" si="10"/>
        <v>2020</v>
      </c>
      <c r="H33" s="36"/>
      <c r="I33" s="36"/>
    </row>
    <row r="34" spans="1:9" x14ac:dyDescent="0.2">
      <c r="H34" s="36" t="str">
        <f t="shared" si="0"/>
        <v/>
      </c>
      <c r="I34" s="36" t="str">
        <f t="shared" si="1"/>
        <v/>
      </c>
    </row>
    <row r="35" spans="1:9" x14ac:dyDescent="0.2">
      <c r="A35" t="s">
        <v>25</v>
      </c>
      <c r="H35" s="36" t="str">
        <f t="shared" si="0"/>
        <v/>
      </c>
      <c r="I35" s="36" t="str">
        <f t="shared" si="1"/>
        <v/>
      </c>
    </row>
    <row r="36" spans="1:9" x14ac:dyDescent="0.2">
      <c r="A36" s="1" t="s">
        <v>26</v>
      </c>
      <c r="B36" s="12">
        <v>23646</v>
      </c>
      <c r="C36" s="12">
        <v>34940</v>
      </c>
      <c r="D36" s="12">
        <v>38016</v>
      </c>
      <c r="H36" s="36">
        <f t="shared" si="0"/>
        <v>-0.32323983972524328</v>
      </c>
      <c r="I36" s="36">
        <f t="shared" si="1"/>
        <v>-8.0913299663299659E-2</v>
      </c>
    </row>
    <row r="37" spans="1:9" x14ac:dyDescent="0.2">
      <c r="A37" s="1" t="s">
        <v>27</v>
      </c>
      <c r="B37" s="12">
        <v>24658</v>
      </c>
      <c r="C37" s="12">
        <v>27699</v>
      </c>
      <c r="D37" s="12">
        <v>52927</v>
      </c>
      <c r="H37" s="36">
        <f t="shared" si="0"/>
        <v>-0.10978735694429402</v>
      </c>
      <c r="I37" s="36">
        <f t="shared" si="1"/>
        <v>-0.47665652691442933</v>
      </c>
    </row>
    <row r="38" spans="1:9" x14ac:dyDescent="0.2">
      <c r="A38" s="1" t="s">
        <v>28</v>
      </c>
      <c r="B38" s="12">
        <v>28184</v>
      </c>
      <c r="C38" s="12">
        <v>26278</v>
      </c>
      <c r="D38" s="12">
        <v>16120</v>
      </c>
      <c r="H38" s="36">
        <f t="shared" si="0"/>
        <v>7.2532156176269125E-2</v>
      </c>
      <c r="I38" s="36">
        <f t="shared" si="1"/>
        <v>0.63014888337468977</v>
      </c>
    </row>
    <row r="39" spans="1:9" x14ac:dyDescent="0.2">
      <c r="A39" s="1" t="s">
        <v>29</v>
      </c>
      <c r="B39" s="12">
        <v>4946</v>
      </c>
      <c r="C39" s="12">
        <v>6580</v>
      </c>
      <c r="D39" s="12">
        <v>4061</v>
      </c>
      <c r="H39" s="36">
        <f t="shared" si="0"/>
        <v>-0.24832826747720366</v>
      </c>
      <c r="I39" s="36">
        <f t="shared" si="1"/>
        <v>0.62029056882541245</v>
      </c>
    </row>
    <row r="40" spans="1:9" x14ac:dyDescent="0.2">
      <c r="A40" s="1" t="s">
        <v>47</v>
      </c>
      <c r="B40" s="12">
        <v>32748</v>
      </c>
      <c r="C40" s="12">
        <v>25228</v>
      </c>
      <c r="D40" s="12">
        <v>21325</v>
      </c>
      <c r="H40" s="36">
        <f t="shared" si="0"/>
        <v>0.29808149674964324</v>
      </c>
      <c r="I40" s="36">
        <f t="shared" si="1"/>
        <v>0.18302461899179367</v>
      </c>
    </row>
    <row r="41" spans="1:9" x14ac:dyDescent="0.2">
      <c r="A41" s="1" t="s">
        <v>30</v>
      </c>
      <c r="B41" s="12">
        <v>21223</v>
      </c>
      <c r="C41" s="12">
        <v>14111</v>
      </c>
      <c r="D41" s="12">
        <v>11264</v>
      </c>
      <c r="H41" s="36">
        <f t="shared" si="0"/>
        <v>0.50400396853518536</v>
      </c>
      <c r="I41" s="36">
        <f t="shared" si="1"/>
        <v>0.25275213068181818</v>
      </c>
    </row>
    <row r="42" spans="1:9" x14ac:dyDescent="0.2">
      <c r="A42" s="8" t="s">
        <v>31</v>
      </c>
      <c r="B42" s="13">
        <f>+SUM(B36:B41)</f>
        <v>135405</v>
      </c>
      <c r="C42" s="13">
        <f t="shared" ref="C42:D42" si="11">+SUM(C36:C41)</f>
        <v>134836</v>
      </c>
      <c r="D42" s="13">
        <f t="shared" si="11"/>
        <v>143713</v>
      </c>
      <c r="H42" s="45">
        <f t="shared" si="0"/>
        <v>4.2199412619775131E-3</v>
      </c>
      <c r="I42" s="45">
        <f t="shared" si="1"/>
        <v>-6.176894226687913E-2</v>
      </c>
    </row>
    <row r="43" spans="1:9" x14ac:dyDescent="0.2">
      <c r="A43" t="s">
        <v>48</v>
      </c>
      <c r="B43" s="12"/>
      <c r="C43" s="12"/>
      <c r="D43" s="12"/>
      <c r="H43" s="36" t="str">
        <f t="shared" si="0"/>
        <v/>
      </c>
      <c r="I43" s="36" t="str">
        <f t="shared" si="1"/>
        <v/>
      </c>
    </row>
    <row r="44" spans="1:9" x14ac:dyDescent="0.2">
      <c r="A44" s="1" t="s">
        <v>27</v>
      </c>
      <c r="B44" s="12">
        <v>120805</v>
      </c>
      <c r="C44" s="12">
        <v>127877</v>
      </c>
      <c r="D44" s="12">
        <v>100887</v>
      </c>
      <c r="H44" s="36">
        <f t="shared" si="0"/>
        <v>-5.5303142863845724E-2</v>
      </c>
      <c r="I44" s="36">
        <f t="shared" si="1"/>
        <v>0.26752703519779553</v>
      </c>
    </row>
    <row r="45" spans="1:9" x14ac:dyDescent="0.2">
      <c r="A45" s="1" t="s">
        <v>32</v>
      </c>
      <c r="B45" s="12">
        <v>42117</v>
      </c>
      <c r="C45" s="12">
        <v>39440</v>
      </c>
      <c r="D45" s="12">
        <v>36766</v>
      </c>
      <c r="H45" s="36">
        <f t="shared" si="0"/>
        <v>6.7875253549695744E-2</v>
      </c>
      <c r="I45" s="36">
        <f t="shared" si="1"/>
        <v>7.2730239895555673E-2</v>
      </c>
    </row>
    <row r="46" spans="1:9" x14ac:dyDescent="0.2">
      <c r="A46" s="1" t="s">
        <v>49</v>
      </c>
      <c r="B46" s="12">
        <v>54428</v>
      </c>
      <c r="C46" s="12">
        <v>48849</v>
      </c>
      <c r="D46" s="12">
        <v>42522</v>
      </c>
      <c r="H46" s="36">
        <f t="shared" si="0"/>
        <v>0.11420909332842023</v>
      </c>
      <c r="I46" s="36">
        <f t="shared" si="1"/>
        <v>0.1487935656836461</v>
      </c>
    </row>
    <row r="47" spans="1:9" x14ac:dyDescent="0.2">
      <c r="A47" s="8" t="s">
        <v>50</v>
      </c>
      <c r="B47" s="13">
        <f>+SUM(B44:B46)</f>
        <v>217350</v>
      </c>
      <c r="C47" s="13">
        <f t="shared" ref="C47:D47" si="12">+SUM(C44:C46)</f>
        <v>216166</v>
      </c>
      <c r="D47" s="13">
        <f t="shared" si="12"/>
        <v>180175</v>
      </c>
      <c r="H47" s="45">
        <f t="shared" si="0"/>
        <v>5.4772720964443994E-3</v>
      </c>
      <c r="I47" s="45">
        <f t="shared" si="1"/>
        <v>0.19975579297904814</v>
      </c>
    </row>
    <row r="48" spans="1:9" ht="16" thickBot="1" x14ac:dyDescent="0.25">
      <c r="A48" s="9" t="s">
        <v>33</v>
      </c>
      <c r="B48" s="14">
        <f>+B42+B47</f>
        <v>352755</v>
      </c>
      <c r="C48" s="14">
        <f t="shared" ref="C48:D48" si="13">+C42+C47</f>
        <v>351002</v>
      </c>
      <c r="D48" s="14">
        <f t="shared" si="13"/>
        <v>323888</v>
      </c>
      <c r="H48" s="46">
        <f t="shared" si="0"/>
        <v>4.9942735369029236E-3</v>
      </c>
      <c r="I48" s="46">
        <f t="shared" si="1"/>
        <v>8.3714123400681711E-2</v>
      </c>
    </row>
    <row r="49" spans="1:9" ht="16" thickTop="1" x14ac:dyDescent="0.2">
      <c r="H49" s="36" t="str">
        <f t="shared" si="0"/>
        <v/>
      </c>
      <c r="I49" s="36" t="str">
        <f t="shared" si="1"/>
        <v/>
      </c>
    </row>
    <row r="50" spans="1:9" x14ac:dyDescent="0.2">
      <c r="A50" t="s">
        <v>34</v>
      </c>
      <c r="H50" s="36" t="str">
        <f t="shared" si="0"/>
        <v/>
      </c>
      <c r="I50" s="36" t="str">
        <f t="shared" si="1"/>
        <v/>
      </c>
    </row>
    <row r="51" spans="1:9" x14ac:dyDescent="0.2">
      <c r="A51" s="1" t="s">
        <v>35</v>
      </c>
      <c r="B51" s="12">
        <v>64115</v>
      </c>
      <c r="C51" s="12">
        <v>54763</v>
      </c>
      <c r="D51" s="12">
        <v>42296</v>
      </c>
      <c r="H51" s="36">
        <f t="shared" si="0"/>
        <v>0.17077223672917846</v>
      </c>
      <c r="I51" s="36">
        <f t="shared" si="1"/>
        <v>0.29475600529600909</v>
      </c>
    </row>
    <row r="52" spans="1:9" x14ac:dyDescent="0.2">
      <c r="A52" s="1" t="s">
        <v>36</v>
      </c>
      <c r="B52" s="12">
        <v>60845</v>
      </c>
      <c r="C52" s="12">
        <v>47493</v>
      </c>
      <c r="D52" s="12">
        <v>42684</v>
      </c>
      <c r="H52" s="36">
        <f t="shared" si="0"/>
        <v>0.28113616743520098</v>
      </c>
      <c r="I52" s="36">
        <f t="shared" si="1"/>
        <v>0.1126651672757942</v>
      </c>
    </row>
    <row r="53" spans="1:9" x14ac:dyDescent="0.2">
      <c r="A53" s="1" t="s">
        <v>37</v>
      </c>
      <c r="B53" s="12">
        <v>7912</v>
      </c>
      <c r="C53" s="12">
        <v>7612</v>
      </c>
      <c r="D53" s="12">
        <v>6643</v>
      </c>
      <c r="H53" s="36">
        <f t="shared" si="0"/>
        <v>3.9411455596426698E-2</v>
      </c>
      <c r="I53" s="36">
        <f t="shared" si="1"/>
        <v>0.14586783079933766</v>
      </c>
    </row>
    <row r="54" spans="1:9" x14ac:dyDescent="0.2">
      <c r="A54" s="1" t="s">
        <v>38</v>
      </c>
      <c r="B54" s="12">
        <v>9982</v>
      </c>
      <c r="C54" s="12">
        <v>6000</v>
      </c>
      <c r="D54" s="12">
        <v>4996</v>
      </c>
      <c r="H54" s="36">
        <f t="shared" si="0"/>
        <v>0.66366666666666663</v>
      </c>
      <c r="I54" s="36">
        <f t="shared" si="1"/>
        <v>0.20096076861489193</v>
      </c>
    </row>
    <row r="55" spans="1:9" x14ac:dyDescent="0.2">
      <c r="A55" s="1" t="s">
        <v>39</v>
      </c>
      <c r="B55" s="12">
        <v>11128</v>
      </c>
      <c r="C55" s="12">
        <v>9613</v>
      </c>
      <c r="D55" s="12">
        <v>8773</v>
      </c>
      <c r="H55" s="36">
        <f t="shared" si="0"/>
        <v>0.15759908457297409</v>
      </c>
      <c r="I55" s="36">
        <f t="shared" si="1"/>
        <v>9.5748318705117977E-2</v>
      </c>
    </row>
    <row r="56" spans="1:9" x14ac:dyDescent="0.2">
      <c r="A56" s="8" t="s">
        <v>40</v>
      </c>
      <c r="B56" s="13">
        <f>+SUM(B51:B55)</f>
        <v>153982</v>
      </c>
      <c r="C56" s="13">
        <f t="shared" ref="C56:D56" si="14">+SUM(C51:C55)</f>
        <v>125481</v>
      </c>
      <c r="D56" s="13">
        <f t="shared" si="14"/>
        <v>105392</v>
      </c>
      <c r="H56" s="45">
        <f t="shared" si="0"/>
        <v>0.22713398841258836</v>
      </c>
      <c r="I56" s="45">
        <f t="shared" si="1"/>
        <v>0.19061219067860938</v>
      </c>
    </row>
    <row r="57" spans="1:9" x14ac:dyDescent="0.2">
      <c r="A57" t="s">
        <v>51</v>
      </c>
      <c r="B57" s="12"/>
      <c r="C57" s="12"/>
      <c r="D57" s="12"/>
      <c r="H57" s="36" t="str">
        <f t="shared" si="0"/>
        <v/>
      </c>
      <c r="I57" s="36" t="str">
        <f t="shared" si="1"/>
        <v/>
      </c>
    </row>
    <row r="58" spans="1:9" x14ac:dyDescent="0.2">
      <c r="A58" s="1" t="s">
        <v>37</v>
      </c>
      <c r="B58" s="12"/>
      <c r="C58" s="12"/>
      <c r="D58" s="12"/>
      <c r="H58" s="36" t="str">
        <f t="shared" si="0"/>
        <v/>
      </c>
      <c r="I58" s="36" t="str">
        <f t="shared" si="1"/>
        <v/>
      </c>
    </row>
    <row r="59" spans="1:9" x14ac:dyDescent="0.2">
      <c r="A59" s="1" t="s">
        <v>39</v>
      </c>
      <c r="B59" s="12">
        <v>98959</v>
      </c>
      <c r="C59" s="12">
        <v>109106</v>
      </c>
      <c r="D59" s="12">
        <v>98667</v>
      </c>
      <c r="H59" s="36">
        <f t="shared" si="0"/>
        <v>-9.3001301486627677E-2</v>
      </c>
      <c r="I59" s="36">
        <f t="shared" si="1"/>
        <v>0.1058003182421681</v>
      </c>
    </row>
    <row r="60" spans="1:9" x14ac:dyDescent="0.2">
      <c r="A60" s="1" t="s">
        <v>52</v>
      </c>
      <c r="B60" s="12">
        <v>49142</v>
      </c>
      <c r="C60" s="12">
        <v>53325</v>
      </c>
      <c r="D60" s="12">
        <v>54490</v>
      </c>
      <c r="H60" s="36">
        <f t="shared" si="0"/>
        <v>-7.8443506797937171E-2</v>
      </c>
      <c r="I60" s="36">
        <f t="shared" si="1"/>
        <v>-2.1380069737566527E-2</v>
      </c>
    </row>
    <row r="61" spans="1:9" x14ac:dyDescent="0.2">
      <c r="A61" s="24" t="s">
        <v>53</v>
      </c>
      <c r="B61" s="23">
        <f>+B59+B60</f>
        <v>148101</v>
      </c>
      <c r="C61" s="23">
        <f t="shared" ref="C61:D61" si="15">+C59+C60</f>
        <v>162431</v>
      </c>
      <c r="D61" s="23">
        <f t="shared" si="15"/>
        <v>153157</v>
      </c>
      <c r="H61" s="47">
        <f t="shared" si="0"/>
        <v>-8.8222075835277747E-2</v>
      </c>
      <c r="I61" s="47">
        <f t="shared" si="1"/>
        <v>6.0552243775994566E-2</v>
      </c>
    </row>
    <row r="62" spans="1:9" x14ac:dyDescent="0.2">
      <c r="A62" s="8" t="s">
        <v>41</v>
      </c>
      <c r="B62" s="13">
        <f>+B56+B61</f>
        <v>302083</v>
      </c>
      <c r="C62" s="13">
        <f t="shared" ref="C62:D62" si="16">+C56+C61</f>
        <v>287912</v>
      </c>
      <c r="D62" s="13">
        <f t="shared" si="16"/>
        <v>258549</v>
      </c>
      <c r="H62" s="45">
        <f t="shared" si="0"/>
        <v>4.9219900525160468E-2</v>
      </c>
      <c r="I62" s="45">
        <f t="shared" si="1"/>
        <v>0.11356841449783213</v>
      </c>
    </row>
    <row r="63" spans="1:9" x14ac:dyDescent="0.2">
      <c r="B63" s="12"/>
      <c r="C63" s="12"/>
      <c r="D63" s="12"/>
      <c r="H63" s="36" t="str">
        <f t="shared" si="0"/>
        <v/>
      </c>
      <c r="I63" s="36" t="str">
        <f t="shared" si="1"/>
        <v/>
      </c>
    </row>
    <row r="64" spans="1:9" x14ac:dyDescent="0.2">
      <c r="A64" t="s">
        <v>42</v>
      </c>
      <c r="B64" s="12"/>
      <c r="C64" s="12"/>
      <c r="D64" s="12"/>
      <c r="H64" s="36" t="str">
        <f t="shared" si="0"/>
        <v/>
      </c>
      <c r="I64" s="36" t="str">
        <f t="shared" si="1"/>
        <v/>
      </c>
    </row>
    <row r="65" spans="1:9" x14ac:dyDescent="0.2">
      <c r="A65" s="1" t="s">
        <v>54</v>
      </c>
      <c r="B65" s="12">
        <v>64849</v>
      </c>
      <c r="C65" s="12">
        <v>57365</v>
      </c>
      <c r="D65" s="12">
        <v>50779</v>
      </c>
      <c r="H65" s="36">
        <f t="shared" si="0"/>
        <v>0.1304628257648392</v>
      </c>
      <c r="I65" s="36">
        <f t="shared" si="1"/>
        <v>0.12969928513755685</v>
      </c>
    </row>
    <row r="66" spans="1:9" x14ac:dyDescent="0.2">
      <c r="A66" s="1" t="s">
        <v>43</v>
      </c>
      <c r="B66" s="12">
        <v>-3068</v>
      </c>
      <c r="C66" s="12">
        <v>5562</v>
      </c>
      <c r="D66" s="12">
        <v>14966</v>
      </c>
      <c r="H66" s="36">
        <f t="shared" si="0"/>
        <v>-1.5516001438331535</v>
      </c>
      <c r="I66" s="36">
        <f t="shared" si="1"/>
        <v>-0.62835761058399042</v>
      </c>
    </row>
    <row r="67" spans="1:9" x14ac:dyDescent="0.2">
      <c r="A67" s="1" t="s">
        <v>44</v>
      </c>
      <c r="B67" s="12">
        <v>-11109</v>
      </c>
      <c r="C67" s="12">
        <v>163</v>
      </c>
      <c r="D67" s="12">
        <v>-406</v>
      </c>
      <c r="H67" s="36">
        <f t="shared" si="0"/>
        <v>-69.153374233128829</v>
      </c>
      <c r="I67" s="36">
        <f t="shared" si="1"/>
        <v>-1.4014778325123152</v>
      </c>
    </row>
    <row r="68" spans="1:9" x14ac:dyDescent="0.2">
      <c r="A68" s="8" t="s">
        <v>45</v>
      </c>
      <c r="B68" s="13">
        <f>+SUM(B65:B67)</f>
        <v>50672</v>
      </c>
      <c r="C68" s="13">
        <f t="shared" ref="C68:D68" si="17">+SUM(C65:C67)</f>
        <v>63090</v>
      </c>
      <c r="D68" s="13">
        <f t="shared" si="17"/>
        <v>65339</v>
      </c>
      <c r="H68" s="45">
        <f t="shared" si="0"/>
        <v>-0.19682992550324932</v>
      </c>
      <c r="I68" s="45">
        <f t="shared" si="1"/>
        <v>-3.4420483937617659E-2</v>
      </c>
    </row>
    <row r="69" spans="1:9" ht="16" thickBot="1" x14ac:dyDescent="0.25">
      <c r="A69" s="9" t="s">
        <v>46</v>
      </c>
      <c r="B69" s="14">
        <f>+B68+B62</f>
        <v>352755</v>
      </c>
      <c r="C69" s="14">
        <f t="shared" ref="C69:D69" si="18">+C68+C62</f>
        <v>351002</v>
      </c>
      <c r="D69" s="14">
        <f t="shared" si="18"/>
        <v>323888</v>
      </c>
      <c r="H69" s="46">
        <f t="shared" si="0"/>
        <v>4.9942735369029236E-3</v>
      </c>
      <c r="I69" s="46">
        <f t="shared" si="1"/>
        <v>8.3714123400681711E-2</v>
      </c>
    </row>
    <row r="70" spans="1:9" ht="16" thickTop="1" x14ac:dyDescent="0.2">
      <c r="H70" s="36" t="str">
        <f t="shared" si="0"/>
        <v/>
      </c>
      <c r="I70" s="36" t="str">
        <f t="shared" si="1"/>
        <v/>
      </c>
    </row>
    <row r="71" spans="1:9" x14ac:dyDescent="0.2">
      <c r="A71" s="26" t="s">
        <v>55</v>
      </c>
      <c r="B71" s="26"/>
      <c r="C71" s="26"/>
      <c r="D71" s="26"/>
      <c r="H71" s="36" t="str">
        <f t="shared" ref="H71:H114" si="19">IF(B71="","",(B71-C71)/C71)</f>
        <v/>
      </c>
      <c r="I71" s="36" t="str">
        <f t="shared" ref="I71:I114" si="20">IF(C71="","",(C71-D71)/D71)</f>
        <v/>
      </c>
    </row>
    <row r="72" spans="1:9" x14ac:dyDescent="0.2">
      <c r="B72" s="25" t="s">
        <v>23</v>
      </c>
      <c r="C72" s="25"/>
      <c r="D72" s="25"/>
      <c r="H72" s="36"/>
      <c r="I72" s="36" t="str">
        <f t="shared" si="20"/>
        <v/>
      </c>
    </row>
    <row r="73" spans="1:9" x14ac:dyDescent="0.2">
      <c r="B73" s="7">
        <f>+B33</f>
        <v>2022</v>
      </c>
      <c r="C73" s="7">
        <f t="shared" ref="C73:D73" si="21">+C33</f>
        <v>2021</v>
      </c>
      <c r="D73" s="7">
        <f t="shared" si="21"/>
        <v>2020</v>
      </c>
      <c r="H73" s="36">
        <f t="shared" si="19"/>
        <v>4.9480455220188031E-4</v>
      </c>
      <c r="I73" s="36">
        <f t="shared" si="20"/>
        <v>4.9504950495049506E-4</v>
      </c>
    </row>
    <row r="74" spans="1:9" x14ac:dyDescent="0.2">
      <c r="H74" s="36" t="str">
        <f t="shared" si="19"/>
        <v/>
      </c>
      <c r="I74" s="36" t="str">
        <f t="shared" si="20"/>
        <v/>
      </c>
    </row>
    <row r="75" spans="1:9" x14ac:dyDescent="0.2">
      <c r="A75" s="7" t="s">
        <v>56</v>
      </c>
      <c r="B75" s="15"/>
      <c r="C75" s="15"/>
      <c r="D75" s="15"/>
      <c r="H75" s="36" t="str">
        <f t="shared" si="19"/>
        <v/>
      </c>
      <c r="I75" s="36" t="str">
        <f t="shared" si="20"/>
        <v/>
      </c>
    </row>
    <row r="76" spans="1:9" x14ac:dyDescent="0.2">
      <c r="A76" t="s">
        <v>57</v>
      </c>
      <c r="B76" s="12">
        <f>+B22</f>
        <v>99803</v>
      </c>
      <c r="C76" s="12">
        <f t="shared" ref="C76:D76" si="22">+C22</f>
        <v>94680</v>
      </c>
      <c r="D76" s="12">
        <f t="shared" si="22"/>
        <v>57411</v>
      </c>
      <c r="H76" s="36">
        <f t="shared" si="19"/>
        <v>5.4108576256865229E-2</v>
      </c>
      <c r="I76" s="36">
        <f t="shared" si="20"/>
        <v>0.64916131055024295</v>
      </c>
    </row>
    <row r="77" spans="1:9" x14ac:dyDescent="0.2">
      <c r="A77" s="11" t="s">
        <v>18</v>
      </c>
      <c r="B77" s="15"/>
      <c r="C77" s="15"/>
      <c r="D77" s="15"/>
      <c r="H77" s="48" t="str">
        <f t="shared" si="19"/>
        <v/>
      </c>
      <c r="I77" s="48" t="str">
        <f t="shared" si="20"/>
        <v/>
      </c>
    </row>
    <row r="78" spans="1:9" x14ac:dyDescent="0.2">
      <c r="A78" s="1" t="s">
        <v>58</v>
      </c>
      <c r="B78" s="12"/>
      <c r="C78" s="12"/>
      <c r="D78" s="12"/>
      <c r="H78" s="36" t="str">
        <f t="shared" si="19"/>
        <v/>
      </c>
      <c r="I78" s="36" t="str">
        <f t="shared" si="20"/>
        <v/>
      </c>
    </row>
    <row r="79" spans="1:9" x14ac:dyDescent="0.2">
      <c r="A79" s="3" t="s">
        <v>59</v>
      </c>
      <c r="B79" s="12">
        <v>11104</v>
      </c>
      <c r="C79" s="12">
        <v>11284</v>
      </c>
      <c r="D79" s="12">
        <v>11056</v>
      </c>
      <c r="H79" s="36">
        <f t="shared" si="19"/>
        <v>-1.5951790145338533E-2</v>
      </c>
      <c r="I79" s="36">
        <f t="shared" si="20"/>
        <v>2.0622286541244574E-2</v>
      </c>
    </row>
    <row r="80" spans="1:9" x14ac:dyDescent="0.2">
      <c r="A80" s="3" t="s">
        <v>83</v>
      </c>
      <c r="B80" s="12">
        <v>9038</v>
      </c>
      <c r="C80" s="12">
        <v>7906</v>
      </c>
      <c r="D80" s="12">
        <v>6829</v>
      </c>
      <c r="H80" s="36">
        <f t="shared" si="19"/>
        <v>0.14318239311915001</v>
      </c>
      <c r="I80" s="36">
        <f t="shared" si="20"/>
        <v>0.1577097671694245</v>
      </c>
    </row>
    <row r="81" spans="1:9" x14ac:dyDescent="0.2">
      <c r="A81" s="3" t="s">
        <v>60</v>
      </c>
      <c r="B81" s="12">
        <v>895</v>
      </c>
      <c r="C81" s="12">
        <v>-4774</v>
      </c>
      <c r="D81" s="12">
        <v>-215</v>
      </c>
      <c r="H81" s="36">
        <f t="shared" si="19"/>
        <v>-1.1874738165060745</v>
      </c>
      <c r="I81" s="36">
        <f t="shared" si="20"/>
        <v>21.204651162790697</v>
      </c>
    </row>
    <row r="82" spans="1:9" x14ac:dyDescent="0.2">
      <c r="A82" s="3" t="s">
        <v>61</v>
      </c>
      <c r="B82" s="12">
        <v>111</v>
      </c>
      <c r="C82" s="12">
        <v>-147</v>
      </c>
      <c r="D82" s="12">
        <v>-97</v>
      </c>
      <c r="H82" s="36">
        <f t="shared" si="19"/>
        <v>-1.7551020408163265</v>
      </c>
      <c r="I82" s="36">
        <f t="shared" si="20"/>
        <v>0.51546391752577314</v>
      </c>
    </row>
    <row r="83" spans="1:9" x14ac:dyDescent="0.2">
      <c r="A83" t="s">
        <v>62</v>
      </c>
      <c r="B83" s="12"/>
      <c r="C83" s="12"/>
      <c r="D83" s="12"/>
      <c r="H83" s="36" t="str">
        <f t="shared" si="19"/>
        <v/>
      </c>
      <c r="I83" s="36" t="str">
        <f t="shared" si="20"/>
        <v/>
      </c>
    </row>
    <row r="84" spans="1:9" x14ac:dyDescent="0.2">
      <c r="A84" s="1" t="s">
        <v>28</v>
      </c>
      <c r="B84" s="12">
        <v>-1823</v>
      </c>
      <c r="C84" s="12">
        <v>-10125</v>
      </c>
      <c r="D84" s="12">
        <v>6917</v>
      </c>
      <c r="H84" s="36">
        <f t="shared" si="19"/>
        <v>-0.81995061728395058</v>
      </c>
      <c r="I84" s="36">
        <f t="shared" si="20"/>
        <v>-2.4637848778372127</v>
      </c>
    </row>
    <row r="85" spans="1:9" x14ac:dyDescent="0.2">
      <c r="A85" s="1" t="s">
        <v>29</v>
      </c>
      <c r="B85" s="12">
        <v>1484</v>
      </c>
      <c r="C85" s="12">
        <v>-2642</v>
      </c>
      <c r="D85" s="12">
        <v>-127</v>
      </c>
      <c r="H85" s="36">
        <f t="shared" si="19"/>
        <v>-1.5616956850870554</v>
      </c>
      <c r="I85" s="36">
        <f t="shared" si="20"/>
        <v>19.803149606299211</v>
      </c>
    </row>
    <row r="86" spans="1:9" x14ac:dyDescent="0.2">
      <c r="A86" s="1" t="s">
        <v>47</v>
      </c>
      <c r="B86" s="12">
        <v>-7520</v>
      </c>
      <c r="C86" s="12">
        <v>-3903</v>
      </c>
      <c r="D86" s="12">
        <v>1553</v>
      </c>
      <c r="H86" s="36">
        <f t="shared" si="19"/>
        <v>0.92672303356392516</v>
      </c>
      <c r="I86" s="36">
        <f t="shared" si="20"/>
        <v>-3.5132002575660013</v>
      </c>
    </row>
    <row r="87" spans="1:9" x14ac:dyDescent="0.2">
      <c r="A87" s="1" t="s">
        <v>84</v>
      </c>
      <c r="B87" s="12">
        <v>-6499</v>
      </c>
      <c r="C87" s="12">
        <v>-8042</v>
      </c>
      <c r="D87" s="12">
        <v>-9588</v>
      </c>
      <c r="H87" s="36">
        <f t="shared" si="19"/>
        <v>-0.1918676946033325</v>
      </c>
      <c r="I87" s="36">
        <f t="shared" si="20"/>
        <v>-0.16124322069253233</v>
      </c>
    </row>
    <row r="88" spans="1:9" x14ac:dyDescent="0.2">
      <c r="A88" s="1" t="s">
        <v>35</v>
      </c>
      <c r="B88" s="12">
        <v>9448</v>
      </c>
      <c r="C88" s="12">
        <v>12326</v>
      </c>
      <c r="D88" s="12">
        <v>-4062</v>
      </c>
      <c r="H88" s="36">
        <f t="shared" si="19"/>
        <v>-0.23349018335226351</v>
      </c>
      <c r="I88" s="36">
        <f t="shared" si="20"/>
        <v>-4.0344657804037416</v>
      </c>
    </row>
    <row r="89" spans="1:9" x14ac:dyDescent="0.2">
      <c r="A89" s="1" t="s">
        <v>37</v>
      </c>
      <c r="B89" s="12">
        <v>478</v>
      </c>
      <c r="C89" s="12">
        <v>1676</v>
      </c>
      <c r="D89" s="12">
        <v>2081</v>
      </c>
      <c r="H89" s="36">
        <f t="shared" si="19"/>
        <v>-0.71479713603818618</v>
      </c>
      <c r="I89" s="36">
        <f t="shared" si="20"/>
        <v>-0.19461797212878423</v>
      </c>
    </row>
    <row r="90" spans="1:9" x14ac:dyDescent="0.2">
      <c r="A90" s="1" t="s">
        <v>85</v>
      </c>
      <c r="B90" s="12">
        <v>5632</v>
      </c>
      <c r="C90" s="12">
        <v>5799</v>
      </c>
      <c r="D90" s="12">
        <v>8916</v>
      </c>
      <c r="H90" s="36">
        <f t="shared" si="19"/>
        <v>-2.879806863252285E-2</v>
      </c>
      <c r="I90" s="36">
        <f t="shared" si="20"/>
        <v>-0.34959623149394348</v>
      </c>
    </row>
    <row r="91" spans="1:9" x14ac:dyDescent="0.2">
      <c r="A91" s="8" t="s">
        <v>63</v>
      </c>
      <c r="B91" s="13">
        <f>+SUM(B76:B90)</f>
        <v>122151</v>
      </c>
      <c r="C91" s="13">
        <f t="shared" ref="C91:D91" si="23">+SUM(C76:C90)</f>
        <v>104038</v>
      </c>
      <c r="D91" s="13">
        <f t="shared" si="23"/>
        <v>80674</v>
      </c>
      <c r="H91" s="45">
        <f t="shared" si="19"/>
        <v>0.17409984813241317</v>
      </c>
      <c r="I91" s="45">
        <f t="shared" si="20"/>
        <v>0.28961003545132263</v>
      </c>
    </row>
    <row r="92" spans="1:9" x14ac:dyDescent="0.2">
      <c r="A92" s="7" t="s">
        <v>64</v>
      </c>
      <c r="B92" s="12"/>
      <c r="C92" s="12"/>
      <c r="D92" s="12"/>
      <c r="H92" s="36" t="str">
        <f t="shared" si="19"/>
        <v/>
      </c>
      <c r="I92" s="36" t="str">
        <f t="shared" si="20"/>
        <v/>
      </c>
    </row>
    <row r="93" spans="1:9" x14ac:dyDescent="0.2">
      <c r="A93" s="1" t="s">
        <v>65</v>
      </c>
      <c r="B93" s="12">
        <v>-76923</v>
      </c>
      <c r="C93" s="12">
        <v>-109558</v>
      </c>
      <c r="D93" s="12">
        <v>-114938</v>
      </c>
      <c r="H93" s="36">
        <f t="shared" si="19"/>
        <v>-0.29787874915569834</v>
      </c>
      <c r="I93" s="36">
        <f t="shared" si="20"/>
        <v>-4.6807844229062624E-2</v>
      </c>
    </row>
    <row r="94" spans="1:9" x14ac:dyDescent="0.2">
      <c r="A94" s="1" t="s">
        <v>66</v>
      </c>
      <c r="B94" s="12">
        <v>29917</v>
      </c>
      <c r="C94" s="12">
        <v>59023</v>
      </c>
      <c r="D94" s="12">
        <v>69918</v>
      </c>
      <c r="H94" s="36">
        <f t="shared" si="19"/>
        <v>-0.49312979685885161</v>
      </c>
      <c r="I94" s="36">
        <f t="shared" si="20"/>
        <v>-0.15582539546325697</v>
      </c>
    </row>
    <row r="95" spans="1:9" x14ac:dyDescent="0.2">
      <c r="A95" s="1" t="s">
        <v>67</v>
      </c>
      <c r="B95" s="12">
        <v>37446</v>
      </c>
      <c r="C95" s="12">
        <v>47460</v>
      </c>
      <c r="D95" s="12">
        <v>50473</v>
      </c>
      <c r="H95" s="36">
        <f t="shared" si="19"/>
        <v>-0.21099873577749684</v>
      </c>
      <c r="I95" s="36">
        <f t="shared" si="20"/>
        <v>-5.9695282626354686E-2</v>
      </c>
    </row>
    <row r="96" spans="1:9" x14ac:dyDescent="0.2">
      <c r="A96" s="1" t="s">
        <v>68</v>
      </c>
      <c r="B96" s="12">
        <v>-10708</v>
      </c>
      <c r="C96" s="12">
        <v>-11085</v>
      </c>
      <c r="D96" s="12">
        <v>-7309</v>
      </c>
      <c r="H96" s="36">
        <f t="shared" si="19"/>
        <v>-3.4009923319801537E-2</v>
      </c>
      <c r="I96" s="36">
        <f t="shared" si="20"/>
        <v>0.5166233410863319</v>
      </c>
    </row>
    <row r="97" spans="1:9" x14ac:dyDescent="0.2">
      <c r="A97" s="1" t="s">
        <v>69</v>
      </c>
      <c r="B97" s="12">
        <v>-306</v>
      </c>
      <c r="C97" s="12">
        <v>-33</v>
      </c>
      <c r="D97" s="12">
        <v>-1524</v>
      </c>
      <c r="H97" s="36">
        <f t="shared" si="19"/>
        <v>8.2727272727272734</v>
      </c>
      <c r="I97" s="36">
        <f t="shared" si="20"/>
        <v>-0.97834645669291342</v>
      </c>
    </row>
    <row r="98" spans="1:9" x14ac:dyDescent="0.2">
      <c r="A98" s="1" t="s">
        <v>61</v>
      </c>
      <c r="B98" s="12">
        <v>-1780</v>
      </c>
      <c r="C98" s="12">
        <v>-352</v>
      </c>
      <c r="D98" s="12">
        <v>-909</v>
      </c>
      <c r="H98" s="36">
        <f t="shared" si="19"/>
        <v>4.0568181818181817</v>
      </c>
      <c r="I98" s="36">
        <f t="shared" si="20"/>
        <v>-0.61276127612761278</v>
      </c>
    </row>
    <row r="99" spans="1:9" x14ac:dyDescent="0.2">
      <c r="A99" s="8" t="s">
        <v>70</v>
      </c>
      <c r="B99" s="13">
        <f>+SUM(B93:B98)</f>
        <v>-22354</v>
      </c>
      <c r="C99" s="13">
        <f t="shared" ref="C99:D99" si="24">+SUM(C93:C98)</f>
        <v>-14545</v>
      </c>
      <c r="D99" s="13">
        <f t="shared" si="24"/>
        <v>-4289</v>
      </c>
      <c r="H99" s="45">
        <f t="shared" si="19"/>
        <v>0.53688552767273978</v>
      </c>
      <c r="I99" s="45">
        <f t="shared" si="20"/>
        <v>2.3912333877360692</v>
      </c>
    </row>
    <row r="100" spans="1:9" x14ac:dyDescent="0.2">
      <c r="A100" s="7" t="s">
        <v>71</v>
      </c>
      <c r="B100" s="12"/>
      <c r="C100" s="12"/>
      <c r="D100" s="12"/>
      <c r="H100" s="36" t="str">
        <f t="shared" si="19"/>
        <v/>
      </c>
      <c r="I100" s="36" t="str">
        <f t="shared" si="20"/>
        <v/>
      </c>
    </row>
    <row r="101" spans="1:9" x14ac:dyDescent="0.2">
      <c r="A101" s="1" t="s">
        <v>86</v>
      </c>
      <c r="B101" s="12">
        <v>-6223</v>
      </c>
      <c r="C101" s="12">
        <v>-6556</v>
      </c>
      <c r="D101" s="12">
        <v>-3634</v>
      </c>
      <c r="H101" s="36">
        <f t="shared" si="19"/>
        <v>-5.0793166564978648E-2</v>
      </c>
      <c r="I101" s="36">
        <f t="shared" si="20"/>
        <v>0.80407264722069349</v>
      </c>
    </row>
    <row r="102" spans="1:9" x14ac:dyDescent="0.2">
      <c r="A102" s="1" t="s">
        <v>72</v>
      </c>
      <c r="B102" s="12">
        <v>-14841</v>
      </c>
      <c r="C102" s="12">
        <v>-14467</v>
      </c>
      <c r="D102" s="12">
        <v>-14081</v>
      </c>
      <c r="H102" s="36">
        <f t="shared" si="19"/>
        <v>2.5851938895417155E-2</v>
      </c>
      <c r="I102" s="36">
        <f t="shared" si="20"/>
        <v>2.741282579362261E-2</v>
      </c>
    </row>
    <row r="103" spans="1:9" x14ac:dyDescent="0.2">
      <c r="A103" s="1" t="s">
        <v>73</v>
      </c>
      <c r="B103" s="12">
        <v>-89402</v>
      </c>
      <c r="C103" s="12">
        <v>-85971</v>
      </c>
      <c r="D103" s="12">
        <v>-72358</v>
      </c>
      <c r="H103" s="36">
        <f t="shared" si="19"/>
        <v>3.990880645799165E-2</v>
      </c>
      <c r="I103" s="36">
        <f t="shared" si="20"/>
        <v>0.18813400038696482</v>
      </c>
    </row>
    <row r="104" spans="1:9" x14ac:dyDescent="0.2">
      <c r="A104" s="1" t="s">
        <v>74</v>
      </c>
      <c r="B104" s="12">
        <v>5465</v>
      </c>
      <c r="C104" s="12">
        <v>20393</v>
      </c>
      <c r="D104" s="12">
        <v>16091</v>
      </c>
      <c r="H104" s="36">
        <f t="shared" si="19"/>
        <v>-0.73201588780463889</v>
      </c>
      <c r="I104" s="36">
        <f t="shared" si="20"/>
        <v>0.26735442172643092</v>
      </c>
    </row>
    <row r="105" spans="1:9" x14ac:dyDescent="0.2">
      <c r="A105" s="1" t="s">
        <v>75</v>
      </c>
      <c r="B105" s="12">
        <v>-9543</v>
      </c>
      <c r="C105" s="12">
        <v>-8750</v>
      </c>
      <c r="D105" s="12">
        <v>-12629</v>
      </c>
      <c r="H105" s="36">
        <f t="shared" si="19"/>
        <v>9.0628571428571433E-2</v>
      </c>
      <c r="I105" s="36">
        <f t="shared" si="20"/>
        <v>-0.30715020983450786</v>
      </c>
    </row>
    <row r="106" spans="1:9" x14ac:dyDescent="0.2">
      <c r="A106" s="1" t="s">
        <v>76</v>
      </c>
      <c r="B106" s="12">
        <v>3955</v>
      </c>
      <c r="C106" s="12">
        <v>1022</v>
      </c>
      <c r="D106" s="12">
        <v>-963</v>
      </c>
      <c r="H106" s="36">
        <f t="shared" si="19"/>
        <v>2.8698630136986303</v>
      </c>
      <c r="I106" s="36">
        <f t="shared" si="20"/>
        <v>-2.0612668743509865</v>
      </c>
    </row>
    <row r="107" spans="1:9" x14ac:dyDescent="0.2">
      <c r="A107" s="1" t="s">
        <v>61</v>
      </c>
      <c r="B107" s="12">
        <v>-160</v>
      </c>
      <c r="C107" s="12">
        <v>976</v>
      </c>
      <c r="D107" s="12">
        <v>754</v>
      </c>
      <c r="H107" s="36">
        <f t="shared" si="19"/>
        <v>-1.1639344262295082</v>
      </c>
      <c r="I107" s="36">
        <f t="shared" si="20"/>
        <v>0.29442970822281167</v>
      </c>
    </row>
    <row r="108" spans="1:9" x14ac:dyDescent="0.2">
      <c r="A108" s="8" t="s">
        <v>77</v>
      </c>
      <c r="B108" s="13">
        <f>+SUM(B101:B107)</f>
        <v>-110749</v>
      </c>
      <c r="C108" s="13">
        <f t="shared" ref="C108:D108" si="25">+SUM(C101:C107)</f>
        <v>-93353</v>
      </c>
      <c r="D108" s="13">
        <f t="shared" si="25"/>
        <v>-86820</v>
      </c>
      <c r="H108" s="45">
        <f t="shared" si="19"/>
        <v>0.18634644842693862</v>
      </c>
      <c r="I108" s="45">
        <f t="shared" si="20"/>
        <v>7.5247638792904858E-2</v>
      </c>
    </row>
    <row r="109" spans="1:9" x14ac:dyDescent="0.2">
      <c r="A109" s="8" t="s">
        <v>78</v>
      </c>
      <c r="B109" s="13">
        <f>+B91+B99+B108</f>
        <v>-10952</v>
      </c>
      <c r="C109" s="13">
        <f t="shared" ref="C109:D109" si="26">+C91+C99+C108</f>
        <v>-3860</v>
      </c>
      <c r="D109" s="13">
        <f t="shared" si="26"/>
        <v>-10435</v>
      </c>
      <c r="H109" s="45">
        <f t="shared" si="19"/>
        <v>1.8373056994818653</v>
      </c>
      <c r="I109" s="45">
        <f t="shared" si="20"/>
        <v>-0.6300910397700048</v>
      </c>
    </row>
    <row r="110" spans="1:9" ht="16" thickBot="1" x14ac:dyDescent="0.25">
      <c r="A110" s="9" t="s">
        <v>79</v>
      </c>
      <c r="B110" s="14">
        <v>24977</v>
      </c>
      <c r="C110" s="14">
        <v>35929</v>
      </c>
      <c r="D110" s="14">
        <v>39789</v>
      </c>
      <c r="H110" s="46">
        <f t="shared" si="19"/>
        <v>-0.30482340170892591</v>
      </c>
      <c r="I110" s="46">
        <f t="shared" si="20"/>
        <v>-9.7011736912211918E-2</v>
      </c>
    </row>
    <row r="111" spans="1:9" ht="16" thickTop="1" x14ac:dyDescent="0.2">
      <c r="B111" s="12"/>
      <c r="C111" s="12"/>
      <c r="D111" s="12"/>
      <c r="H111" s="36" t="str">
        <f t="shared" si="19"/>
        <v/>
      </c>
      <c r="I111" s="36" t="str">
        <f t="shared" si="20"/>
        <v/>
      </c>
    </row>
    <row r="112" spans="1:9" x14ac:dyDescent="0.2">
      <c r="A112" t="s">
        <v>80</v>
      </c>
      <c r="B112" s="12"/>
      <c r="C112" s="12"/>
      <c r="D112" s="12"/>
      <c r="H112" s="36" t="str">
        <f t="shared" si="19"/>
        <v/>
      </c>
      <c r="I112" s="36" t="str">
        <f t="shared" si="20"/>
        <v/>
      </c>
    </row>
    <row r="113" spans="1:9" x14ac:dyDescent="0.2">
      <c r="A113" t="s">
        <v>81</v>
      </c>
      <c r="B113" s="12">
        <v>19573</v>
      </c>
      <c r="C113" s="12">
        <v>25385</v>
      </c>
      <c r="D113" s="12">
        <v>9501</v>
      </c>
      <c r="H113" s="36">
        <f t="shared" si="19"/>
        <v>-0.22895410675595823</v>
      </c>
      <c r="I113" s="36">
        <f t="shared" si="20"/>
        <v>1.6718240185243658</v>
      </c>
    </row>
    <row r="114" spans="1:9" x14ac:dyDescent="0.2">
      <c r="A114" t="s">
        <v>82</v>
      </c>
      <c r="B114" s="12">
        <v>2865</v>
      </c>
      <c r="C114" s="12">
        <v>2687</v>
      </c>
      <c r="D114" s="12">
        <v>3002</v>
      </c>
      <c r="H114" s="36">
        <f t="shared" si="19"/>
        <v>6.6244882768887237E-2</v>
      </c>
      <c r="I114" s="36">
        <f t="shared" si="20"/>
        <v>-0.10493004663557629</v>
      </c>
    </row>
  </sheetData>
  <mergeCells count="7">
    <mergeCell ref="H3:I3"/>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topLeftCell="A37" zoomScaleNormal="100" workbookViewId="0">
      <selection activeCell="C51" sqref="C51"/>
    </sheetView>
  </sheetViews>
  <sheetFormatPr baseColWidth="10" defaultColWidth="8.83203125" defaultRowHeight="20" customHeight="1" x14ac:dyDescent="0.2"/>
  <cols>
    <col min="1" max="1" width="3.6640625" bestFit="1" customWidth="1"/>
    <col min="2" max="2" width="32.5" bestFit="1" customWidth="1"/>
    <col min="3" max="3" width="11.83203125" bestFit="1" customWidth="1"/>
    <col min="4" max="5" width="11.1640625" bestFit="1" customWidth="1"/>
    <col min="7" max="7" width="10.5" bestFit="1" customWidth="1"/>
    <col min="11" max="11" width="58.33203125" bestFit="1" customWidth="1"/>
    <col min="12" max="12" width="3.33203125" bestFit="1" customWidth="1"/>
    <col min="13" max="13" width="70" bestFit="1" customWidth="1"/>
  </cols>
  <sheetData>
    <row r="1" spans="1:13" ht="20" customHeight="1" x14ac:dyDescent="0.3">
      <c r="A1" s="6"/>
      <c r="B1" s="20" t="s">
        <v>0</v>
      </c>
      <c r="C1" s="19"/>
      <c r="D1" s="19"/>
      <c r="E1" s="19"/>
      <c r="F1" s="19"/>
      <c r="G1" s="19"/>
      <c r="H1" s="19"/>
      <c r="I1" s="19"/>
      <c r="J1" s="19"/>
    </row>
    <row r="2" spans="1:13" ht="20" customHeight="1" x14ac:dyDescent="0.2">
      <c r="C2" s="25" t="s">
        <v>23</v>
      </c>
      <c r="D2" s="25"/>
      <c r="E2" s="25"/>
      <c r="G2" s="30" t="s">
        <v>179</v>
      </c>
    </row>
    <row r="3" spans="1:13" ht="20" customHeight="1" x14ac:dyDescent="0.2">
      <c r="C3" s="7">
        <f>+'Financial Statements'!B4</f>
        <v>2022</v>
      </c>
      <c r="D3" s="7">
        <f>+'Financial Statements'!C4</f>
        <v>2021</v>
      </c>
      <c r="E3" s="7">
        <f>+'Financial Statements'!D4</f>
        <v>2020</v>
      </c>
    </row>
    <row r="4" spans="1:13" ht="20" customHeight="1" x14ac:dyDescent="0.2">
      <c r="A4" s="18">
        <v>1</v>
      </c>
      <c r="B4" s="7" t="s">
        <v>99</v>
      </c>
    </row>
    <row r="5" spans="1:13" ht="20" customHeight="1" x14ac:dyDescent="0.2">
      <c r="A5" s="18">
        <f>+A4+0.1</f>
        <v>1.1000000000000001</v>
      </c>
      <c r="B5" s="1" t="s">
        <v>100</v>
      </c>
      <c r="C5" s="27">
        <f>'Financial Statements'!B42/'Financial Statements'!B56</f>
        <v>0.87935602862672257</v>
      </c>
      <c r="D5" s="27">
        <f>'Financial Statements'!C42/'Financial Statements'!C56</f>
        <v>1.0745531195957954</v>
      </c>
      <c r="E5" s="27">
        <f>'Financial Statements'!D42/'Financial Statements'!D56</f>
        <v>1.3636044481554577</v>
      </c>
      <c r="K5" t="s">
        <v>150</v>
      </c>
    </row>
    <row r="6" spans="1:13" ht="20" customHeight="1" x14ac:dyDescent="0.2">
      <c r="A6" s="18">
        <f t="shared" ref="A6:A13" si="0">+A5+0.1</f>
        <v>1.2000000000000002</v>
      </c>
      <c r="B6" s="1" t="s">
        <v>101</v>
      </c>
      <c r="C6" s="27">
        <f>('Financial Statements'!B36+'Financial Statements'!B37+'Financial Statements'!B38)/'Financial Statements'!B56</f>
        <v>0.49673338442155579</v>
      </c>
      <c r="D6" s="27">
        <f>('Financial Statements'!C36+'Financial Statements'!C37+'Financial Statements'!C38)/'Financial Statements'!C56</f>
        <v>0.70860927152317876</v>
      </c>
      <c r="E6" s="27">
        <f>('Financial Statements'!D36+'Financial Statements'!D37+'Financial Statements'!D38)/'Financial Statements'!D56</f>
        <v>1.0158550933657204</v>
      </c>
      <c r="K6" t="s">
        <v>151</v>
      </c>
      <c r="M6" t="s">
        <v>149</v>
      </c>
    </row>
    <row r="7" spans="1:13" ht="20" customHeight="1" x14ac:dyDescent="0.2">
      <c r="A7" s="18">
        <f t="shared" si="0"/>
        <v>1.3000000000000003</v>
      </c>
      <c r="B7" s="1" t="s">
        <v>102</v>
      </c>
      <c r="C7" s="27">
        <f>'Financial Statements'!B36/'Financial Statements'!B56</f>
        <v>0.15356340351469652</v>
      </c>
      <c r="D7" s="27">
        <f>'Financial Statements'!C36/'Financial Statements'!C56</f>
        <v>0.27844853005634318</v>
      </c>
      <c r="E7" s="27">
        <f>'Financial Statements'!D36/'Financial Statements'!D56</f>
        <v>0.36071049035979963</v>
      </c>
      <c r="K7" t="s">
        <v>155</v>
      </c>
    </row>
    <row r="8" spans="1:13" ht="20" customHeight="1" x14ac:dyDescent="0.2">
      <c r="A8" s="18">
        <f t="shared" si="0"/>
        <v>1.4000000000000004</v>
      </c>
      <c r="B8" s="1" t="s">
        <v>103</v>
      </c>
      <c r="C8" s="28">
        <f>('Financial Statements'!B36+'Financial Statements'!B37+'Financial Statements'!B38)/(('Financial Statements'!B17-('Financial Statements'!B79+'Financial Statements'!B80+'Financial Statements'!B81+'Financial Statements'!B82))/365)</f>
        <v>924.5329006192668</v>
      </c>
      <c r="D8" s="28">
        <f>('Financial Statements'!C36+'Financial Statements'!C37+'Financial Statements'!C38)/(('Financial Statements'!C17-('Financial Statements'!C79+'Financial Statements'!C80+'Financial Statements'!C81+'Financial Statements'!C82))/365)</f>
        <v>1095.7763859814977</v>
      </c>
      <c r="E8" s="28">
        <f>('Financial Statements'!D36+'Financial Statements'!D37+'Financial Statements'!D38)/(('Financial Statements'!D17-('Financial Statements'!D79+'Financial Statements'!D80+'Financial Statements'!D81+'Financial Statements'!D82))/365)</f>
        <v>1852.476653235364</v>
      </c>
      <c r="K8" t="s">
        <v>176</v>
      </c>
      <c r="M8" t="s">
        <v>177</v>
      </c>
    </row>
    <row r="9" spans="1:13" ht="20" customHeight="1" x14ac:dyDescent="0.2">
      <c r="A9" s="18">
        <f t="shared" si="0"/>
        <v>1.5000000000000004</v>
      </c>
      <c r="B9" s="1" t="s">
        <v>104</v>
      </c>
      <c r="C9" s="27">
        <f>('Financial Statements'!B39/'Financial Statements'!B12)*365</f>
        <v>8.0756980666171607</v>
      </c>
      <c r="D9" s="27">
        <f>('Financial Statements'!C39/'Financial Statements'!C12)*365</f>
        <v>11.27659274770989</v>
      </c>
      <c r="E9" s="27">
        <f>('Financial Statements'!D39/'Financial Statements'!D12)*365</f>
        <v>8.7418833562358831</v>
      </c>
      <c r="K9" t="s">
        <v>178</v>
      </c>
    </row>
    <row r="10" spans="1:13" ht="20" customHeight="1" x14ac:dyDescent="0.2">
      <c r="A10" s="18">
        <f t="shared" si="0"/>
        <v>1.6000000000000005</v>
      </c>
      <c r="B10" s="1" t="s">
        <v>105</v>
      </c>
      <c r="C10" s="27">
        <f>'Financial Statements'!B51/'Financial Statements'!B12*365</f>
        <v>104.68527730310539</v>
      </c>
      <c r="D10" s="27">
        <f>'Financial Statements'!C51/'Financial Statements'!C12*365</f>
        <v>93.851071222315596</v>
      </c>
      <c r="E10" s="27">
        <f>'Financial Statements'!D51/'Financial Statements'!D12*365</f>
        <v>91.048189715674198</v>
      </c>
      <c r="K10" t="s">
        <v>180</v>
      </c>
    </row>
    <row r="11" spans="1:13" ht="20" customHeight="1" x14ac:dyDescent="0.2">
      <c r="A11" s="18">
        <f t="shared" si="0"/>
        <v>1.7000000000000006</v>
      </c>
      <c r="B11" s="1" t="s">
        <v>106</v>
      </c>
      <c r="C11" s="27">
        <f>'Financial Statements'!B38/'Financial Statements'!B8*365</f>
        <v>26.087825363656648</v>
      </c>
      <c r="D11" s="27">
        <f>'Financial Statements'!C38/'Financial Statements'!C8*365</f>
        <v>26.219311841713207</v>
      </c>
      <c r="E11" s="27">
        <f>'Financial Statements'!D38/'Financial Statements'!D8*365</f>
        <v>21.433437152796749</v>
      </c>
      <c r="K11" t="s">
        <v>181</v>
      </c>
    </row>
    <row r="12" spans="1:13" ht="20" customHeight="1" x14ac:dyDescent="0.2">
      <c r="A12" s="18">
        <f t="shared" si="0"/>
        <v>1.8000000000000007</v>
      </c>
      <c r="B12" s="1" t="s">
        <v>107</v>
      </c>
      <c r="C12" s="27">
        <f>C9+C11-C10</f>
        <v>-70.521753872831582</v>
      </c>
      <c r="D12" s="27">
        <f t="shared" ref="D12:E12" si="1">D9+D11-D10</f>
        <v>-56.355166632892498</v>
      </c>
      <c r="E12" s="27">
        <f t="shared" si="1"/>
        <v>-60.872869206641568</v>
      </c>
      <c r="K12" t="s">
        <v>182</v>
      </c>
    </row>
    <row r="13" spans="1:13" ht="20" customHeight="1" x14ac:dyDescent="0.2">
      <c r="A13" s="18">
        <f t="shared" si="0"/>
        <v>1.9000000000000008</v>
      </c>
      <c r="B13" s="1" t="s">
        <v>108</v>
      </c>
      <c r="C13" s="36">
        <f>'List of Ratios'!C14/'Financial Statements'!B8</f>
        <v>-4.711052727678481E-2</v>
      </c>
      <c r="D13" s="36">
        <f>'List of Ratios'!D14/'Financial Statements'!C8</f>
        <v>2.557289573748623E-2</v>
      </c>
      <c r="E13" s="36">
        <f>'List of Ratios'!E14/'Financial Statements'!D8</f>
        <v>0.13959528623208203</v>
      </c>
      <c r="K13" t="s">
        <v>184</v>
      </c>
    </row>
    <row r="14" spans="1:13" ht="20" customHeight="1" x14ac:dyDescent="0.2">
      <c r="A14" s="18"/>
      <c r="B14" s="3" t="s">
        <v>109</v>
      </c>
      <c r="C14" s="35">
        <f>'Financial Statements'!B42-'Financial Statements'!B56</f>
        <v>-18577</v>
      </c>
      <c r="D14" s="35">
        <f>'Financial Statements'!C42-'Financial Statements'!C56</f>
        <v>9355</v>
      </c>
      <c r="E14" s="35">
        <f>'Financial Statements'!D42-'Financial Statements'!D56</f>
        <v>38321</v>
      </c>
      <c r="G14" t="s">
        <v>160</v>
      </c>
      <c r="K14" t="s">
        <v>183</v>
      </c>
    </row>
    <row r="15" spans="1:13" ht="20" customHeight="1" x14ac:dyDescent="0.25">
      <c r="A15" s="18"/>
      <c r="C15" s="35"/>
      <c r="D15" s="35"/>
      <c r="E15" s="35"/>
      <c r="K15" s="32"/>
    </row>
    <row r="16" spans="1:13" ht="20" customHeight="1" x14ac:dyDescent="0.2">
      <c r="A16" s="18">
        <f>+A4+1</f>
        <v>2</v>
      </c>
      <c r="B16" s="17" t="s">
        <v>110</v>
      </c>
    </row>
    <row r="17" spans="1:13" ht="20" customHeight="1" x14ac:dyDescent="0.2">
      <c r="A17" s="18">
        <f>+A16+0.1</f>
        <v>2.1</v>
      </c>
      <c r="B17" s="1" t="s">
        <v>9</v>
      </c>
      <c r="C17" s="35">
        <f>'Financial Statements'!B8-'Financial Statements'!B12</f>
        <v>170782</v>
      </c>
      <c r="D17" s="35">
        <f>'Financial Statements'!C8-'Financial Statements'!C12</f>
        <v>152836</v>
      </c>
      <c r="E17" s="35">
        <f>'Financial Statements'!D8-'Financial Statements'!D12</f>
        <v>104956</v>
      </c>
      <c r="G17" t="s">
        <v>160</v>
      </c>
      <c r="K17" t="s">
        <v>156</v>
      </c>
    </row>
    <row r="18" spans="1:13" ht="20" customHeight="1" x14ac:dyDescent="0.2">
      <c r="A18" s="18">
        <f>+A17+0.1</f>
        <v>2.2000000000000002</v>
      </c>
      <c r="B18" s="1" t="s">
        <v>111</v>
      </c>
      <c r="C18" s="36">
        <f>C19/C17</f>
        <v>0.76437212352589856</v>
      </c>
      <c r="D18" s="36">
        <f t="shared" ref="D18:E18" si="2">D19/D17</f>
        <v>0.78667983982831269</v>
      </c>
      <c r="E18" s="36">
        <f t="shared" si="2"/>
        <v>0.73691832768017074</v>
      </c>
      <c r="K18" t="s">
        <v>157</v>
      </c>
    </row>
    <row r="19" spans="1:13" ht="20" customHeight="1" x14ac:dyDescent="0.2">
      <c r="A19" s="18"/>
      <c r="B19" s="3" t="s">
        <v>112</v>
      </c>
      <c r="C19" s="35">
        <f>'Financial Statements'!B18+'Financial Statements'!B79</f>
        <v>130541</v>
      </c>
      <c r="D19" s="35">
        <f>'Financial Statements'!C18+'Financial Statements'!C79</f>
        <v>120233</v>
      </c>
      <c r="E19" s="35">
        <f>'Financial Statements'!D18+'Financial Statements'!D79</f>
        <v>77344</v>
      </c>
      <c r="G19" t="s">
        <v>160</v>
      </c>
      <c r="K19" t="s">
        <v>152</v>
      </c>
    </row>
    <row r="20" spans="1:13" ht="20" customHeight="1" x14ac:dyDescent="0.2">
      <c r="A20" s="18">
        <f>+A18+0.1</f>
        <v>2.3000000000000003</v>
      </c>
      <c r="B20" s="1" t="s">
        <v>113</v>
      </c>
      <c r="C20" s="36">
        <f>C21/C17</f>
        <v>0.69935356185078057</v>
      </c>
      <c r="D20" s="36">
        <f t="shared" ref="D20:E20" si="3">D21/D17</f>
        <v>0.71284906697374961</v>
      </c>
      <c r="E20" s="36">
        <f t="shared" si="3"/>
        <v>0.63157894736842102</v>
      </c>
      <c r="K20" t="s">
        <v>158</v>
      </c>
    </row>
    <row r="21" spans="1:13" ht="20" customHeight="1" x14ac:dyDescent="0.2">
      <c r="A21" s="18"/>
      <c r="B21" s="3" t="s">
        <v>114</v>
      </c>
      <c r="C21" s="35">
        <f>'Financial Statements'!B8-'Financial Statements'!B12-'Financial Statements'!B17</f>
        <v>119437</v>
      </c>
      <c r="D21" s="35">
        <f>'Financial Statements'!C8-'Financial Statements'!C12-'Financial Statements'!C17</f>
        <v>108949</v>
      </c>
      <c r="E21" s="35">
        <f>'Financial Statements'!D8-'Financial Statements'!D12-'Financial Statements'!D17</f>
        <v>66288</v>
      </c>
      <c r="G21" t="s">
        <v>160</v>
      </c>
      <c r="K21" t="s">
        <v>195</v>
      </c>
      <c r="L21" s="33" t="s">
        <v>153</v>
      </c>
      <c r="M21" s="34" t="s">
        <v>154</v>
      </c>
    </row>
    <row r="22" spans="1:13" ht="20" customHeight="1" x14ac:dyDescent="0.2">
      <c r="A22" s="18">
        <f>+A20+0.1</f>
        <v>2.4000000000000004</v>
      </c>
      <c r="B22" s="1" t="s">
        <v>115</v>
      </c>
      <c r="C22" s="36">
        <f>'Financial Statements'!B22/'Financial Statements'!B13</f>
        <v>0.58438828447962898</v>
      </c>
      <c r="D22" s="36">
        <f>'Financial Statements'!C22/'Financial Statements'!C13</f>
        <v>0.61948755528802113</v>
      </c>
      <c r="E22" s="36">
        <f>'Financial Statements'!D22/'Financial Statements'!D13</f>
        <v>0.54700064789054459</v>
      </c>
      <c r="K22" t="s">
        <v>159</v>
      </c>
    </row>
    <row r="23" spans="1:13" ht="20" customHeight="1" x14ac:dyDescent="0.2">
      <c r="A23" s="18"/>
    </row>
    <row r="24" spans="1:13" ht="20" customHeight="1" x14ac:dyDescent="0.2">
      <c r="A24" s="18">
        <f>+A16+1</f>
        <v>3</v>
      </c>
      <c r="B24" s="7" t="s">
        <v>196</v>
      </c>
    </row>
    <row r="25" spans="1:13" ht="20" customHeight="1" x14ac:dyDescent="0.2">
      <c r="A25" s="18">
        <f>+A24+0.1</f>
        <v>3.1</v>
      </c>
      <c r="B25" s="1" t="s">
        <v>116</v>
      </c>
      <c r="C25" s="27">
        <f>'Financial Statements'!B62/'Financial Statements'!B68</f>
        <v>5.9615369434796337</v>
      </c>
      <c r="D25" s="27">
        <f>'Financial Statements'!C62/'Financial Statements'!C68</f>
        <v>4.5635124425423994</v>
      </c>
      <c r="E25" s="27">
        <f>'Financial Statements'!D62/'Financial Statements'!D68</f>
        <v>3.9570394404566951</v>
      </c>
      <c r="K25" t="s">
        <v>198</v>
      </c>
    </row>
    <row r="26" spans="1:13" ht="20" customHeight="1" x14ac:dyDescent="0.2">
      <c r="A26" s="18">
        <f t="shared" ref="A26:A30" si="4">+A25+0.1</f>
        <v>3.2</v>
      </c>
      <c r="B26" s="1" t="s">
        <v>117</v>
      </c>
      <c r="C26" s="27">
        <f>'Financial Statements'!B62/'Financial Statements'!B48</f>
        <v>0.85635355983614692</v>
      </c>
      <c r="D26" s="27">
        <f>'Financial Statements'!C62/'Financial Statements'!C48</f>
        <v>0.82025743443057308</v>
      </c>
      <c r="E26" s="27">
        <f>'Financial Statements'!D62/'Financial Statements'!D48</f>
        <v>0.79826668477992391</v>
      </c>
      <c r="K26" t="s">
        <v>197</v>
      </c>
    </row>
    <row r="27" spans="1:13" ht="20" customHeight="1" x14ac:dyDescent="0.2">
      <c r="A27" s="18">
        <f t="shared" si="4"/>
        <v>3.3000000000000003</v>
      </c>
      <c r="B27" s="1" t="s">
        <v>118</v>
      </c>
      <c r="C27" s="27">
        <f>'Financial Statements'!B61/('Financial Statements'!B61+'Financial Statements'!B68)</f>
        <v>0.74507604151469264</v>
      </c>
      <c r="D27" s="27">
        <f>'Financial Statements'!C61/('Financial Statements'!C61+'Financial Statements'!C68)</f>
        <v>0.72024778180302496</v>
      </c>
      <c r="E27" s="27">
        <f>'Financial Statements'!D61/('Financial Statements'!D61+'Financial Statements'!D68)</f>
        <v>0.70096020064440534</v>
      </c>
      <c r="K27" t="s">
        <v>199</v>
      </c>
    </row>
    <row r="28" spans="1:13" ht="20" customHeight="1" x14ac:dyDescent="0.2">
      <c r="A28" s="18">
        <f t="shared" si="4"/>
        <v>3.4000000000000004</v>
      </c>
      <c r="B28" s="1" t="s">
        <v>119</v>
      </c>
      <c r="C28" s="27">
        <f>('Financial Statements'!B8-'Financial Statements'!B12-'Financial Statements'!B17)/'Financial Statements'!B114</f>
        <v>41.68830715532286</v>
      </c>
      <c r="D28" s="27">
        <f>('Financial Statements'!C8-'Financial Statements'!C12-'Financial Statements'!C17)/'Financial Statements'!C114</f>
        <v>40.546706363974693</v>
      </c>
      <c r="E28" s="27">
        <f>('Financial Statements'!D8-'Financial Statements'!D12-'Financial Statements'!D17)/'Financial Statements'!D114</f>
        <v>22.081279147235175</v>
      </c>
      <c r="K28" t="s">
        <v>161</v>
      </c>
    </row>
    <row r="29" spans="1:13" ht="20" customHeight="1" x14ac:dyDescent="0.2">
      <c r="A29" s="18">
        <f t="shared" si="4"/>
        <v>3.5000000000000004</v>
      </c>
      <c r="B29" s="1" t="s">
        <v>120</v>
      </c>
      <c r="C29" s="27">
        <f>'Financial Statements'!B22/(-'Financial Statements'!B105+'Financial Statements'!B114)</f>
        <v>8.0434397163120561</v>
      </c>
      <c r="D29" s="27">
        <f>'Financial Statements'!C22/(-'Financial Statements'!C105+'Financial Statements'!C114)</f>
        <v>8.2783946839206077</v>
      </c>
      <c r="E29" s="27">
        <f>'Financial Statements'!D22/(-'Financial Statements'!D105+'Financial Statements'!D114)</f>
        <v>3.6728936088542001</v>
      </c>
      <c r="K29" t="s">
        <v>194</v>
      </c>
    </row>
    <row r="30" spans="1:13" ht="20" customHeight="1" x14ac:dyDescent="0.2">
      <c r="A30" s="18">
        <f t="shared" si="4"/>
        <v>3.6000000000000005</v>
      </c>
      <c r="B30" s="1" t="s">
        <v>121</v>
      </c>
      <c r="C30" s="29">
        <f>C31*1000/'Financial Statements'!B27</f>
        <v>10.824889030642213</v>
      </c>
      <c r="D30" s="29">
        <f>D31*1000/'Financial Statements'!C27</f>
        <v>10.021631885283947</v>
      </c>
      <c r="E30" s="29">
        <f>E31*1000/'Financial Statements'!D27</f>
        <v>6.8882653467279704</v>
      </c>
      <c r="K30" t="s">
        <v>201</v>
      </c>
      <c r="M30" t="s">
        <v>200</v>
      </c>
    </row>
    <row r="31" spans="1:13" ht="20" customHeight="1" x14ac:dyDescent="0.2">
      <c r="A31" s="18"/>
      <c r="B31" s="3" t="s">
        <v>122</v>
      </c>
      <c r="C31" s="35">
        <f>'Financial Statements'!B76+'Financial Statements'!B96+('Financial Statements'!B55+'Financial Statements'!B59-'Financial Statements'!B36)</f>
        <v>175536</v>
      </c>
      <c r="D31" s="35">
        <f>'Financial Statements'!C76+'Financial Statements'!C96+('Financial Statements'!C55+'Financial Statements'!C59-'Financial Statements'!C36)</f>
        <v>167374</v>
      </c>
      <c r="E31" s="35">
        <f>'Financial Statements'!D76+'Financial Statements'!D96+('Financial Statements'!D55+'Financial Statements'!D59-'Financial Statements'!D36)</f>
        <v>119526</v>
      </c>
      <c r="G31" t="s">
        <v>160</v>
      </c>
      <c r="K31" s="50"/>
    </row>
    <row r="32" spans="1:13" ht="20" customHeight="1" x14ac:dyDescent="0.2">
      <c r="A32" s="18"/>
      <c r="K32" s="50"/>
    </row>
    <row r="33" spans="1:13" ht="20" customHeight="1" x14ac:dyDescent="0.2">
      <c r="A33" s="18">
        <f>+A24+1</f>
        <v>4</v>
      </c>
      <c r="B33" s="17" t="s">
        <v>123</v>
      </c>
      <c r="K33" s="50"/>
    </row>
    <row r="34" spans="1:13" ht="20" customHeight="1" x14ac:dyDescent="0.2">
      <c r="A34" s="18">
        <f>+A33+0.1</f>
        <v>4.0999999999999996</v>
      </c>
      <c r="B34" s="1" t="s">
        <v>124</v>
      </c>
      <c r="C34" s="27">
        <f>'Financial Statements'!B8/('Financial Statements'!B48+'Financial Statements'!C48)/2</f>
        <v>0.28015920267933392</v>
      </c>
      <c r="D34" s="27">
        <f>'Financial Statements'!C8/('Financial Statements'!C48+'Financial Statements'!D48)/2</f>
        <v>0.2710197217324305</v>
      </c>
      <c r="E34" s="27" t="s">
        <v>188</v>
      </c>
      <c r="K34" t="s">
        <v>185</v>
      </c>
      <c r="M34" t="s">
        <v>202</v>
      </c>
    </row>
    <row r="35" spans="1:13" ht="20" customHeight="1" x14ac:dyDescent="0.2">
      <c r="A35" s="18">
        <f t="shared" ref="A35:A37" si="5">+A34+0.1</f>
        <v>4.1999999999999993</v>
      </c>
      <c r="B35" s="1" t="s">
        <v>125</v>
      </c>
      <c r="C35" s="27">
        <f>'Financial Statements'!B8/('Financial Statements'!B76+'Financial Statements'!B110)/2</f>
        <v>1.5800929636159642</v>
      </c>
      <c r="D35" s="27">
        <f>'Financial Statements'!C8/('Financial Statements'!C76+'Financial Statements'!C110)/2</f>
        <v>1.400427995008001</v>
      </c>
      <c r="E35" s="27">
        <f>'Financial Statements'!D8/('Financial Statements'!D76+'Financial Statements'!D110)/2</f>
        <v>1.4121141975308642</v>
      </c>
      <c r="K35" t="s">
        <v>175</v>
      </c>
      <c r="M35" t="s">
        <v>186</v>
      </c>
    </row>
    <row r="36" spans="1:13" ht="20" customHeight="1" x14ac:dyDescent="0.2">
      <c r="A36" s="18">
        <f t="shared" si="5"/>
        <v>4.2999999999999989</v>
      </c>
      <c r="B36" s="1" t="s">
        <v>126</v>
      </c>
      <c r="C36" s="27">
        <f>('Financial Statements'!B12/'Financial Statements'!B39)</f>
        <v>45.197331176708452</v>
      </c>
      <c r="D36" s="27">
        <f>('Financial Statements'!C12/'Financial Statements'!C39)</f>
        <v>32.367933130699086</v>
      </c>
      <c r="E36" s="27">
        <f>('Financial Statements'!D12/'Financial Statements'!D39)</f>
        <v>41.753016498399411</v>
      </c>
      <c r="K36" t="s">
        <v>187</v>
      </c>
    </row>
    <row r="37" spans="1:13" ht="20" customHeight="1" x14ac:dyDescent="0.2">
      <c r="A37" s="18">
        <f t="shared" si="5"/>
        <v>4.3999999999999986</v>
      </c>
      <c r="B37" s="1" t="s">
        <v>127</v>
      </c>
      <c r="C37" s="36">
        <f>'Financial Statements'!B22/'Financial Statements'!B48</f>
        <v>0.28292440929256851</v>
      </c>
      <c r="D37" s="36">
        <f>'Financial Statements'!C22/'Financial Statements'!C48</f>
        <v>0.26974205275183616</v>
      </c>
      <c r="E37" s="36">
        <f>'Financial Statements'!D22/'Financial Statements'!D48</f>
        <v>0.1772557180259843</v>
      </c>
      <c r="K37" t="s">
        <v>172</v>
      </c>
    </row>
    <row r="38" spans="1:13" ht="20" customHeight="1" x14ac:dyDescent="0.2">
      <c r="A38" s="18"/>
    </row>
    <row r="39" spans="1:13" ht="20" customHeight="1" x14ac:dyDescent="0.2">
      <c r="A39" s="18">
        <f>+A33+1</f>
        <v>5</v>
      </c>
      <c r="B39" s="17" t="s">
        <v>128</v>
      </c>
    </row>
    <row r="40" spans="1:13" ht="20" customHeight="1" x14ac:dyDescent="0.2">
      <c r="A40" s="18">
        <f>+A39+0.1</f>
        <v>5.0999999999999996</v>
      </c>
      <c r="B40" s="1" t="s">
        <v>129</v>
      </c>
      <c r="C40" s="27">
        <f ca="1">Instructions!G30/'Financial Statements'!B24</f>
        <v>22.471544715447152</v>
      </c>
      <c r="D40" s="27">
        <f ca="1">Instructions!I30/'Financial Statements'!C24</f>
        <v>24.955908289241624</v>
      </c>
      <c r="E40" s="27">
        <f ca="1">Instructions!K30/'Financial Statements'!D24</f>
        <v>34.987915407854985</v>
      </c>
      <c r="K40" t="s">
        <v>168</v>
      </c>
    </row>
    <row r="41" spans="1:13" ht="20" customHeight="1" x14ac:dyDescent="0.2">
      <c r="A41" s="18">
        <f t="shared" ref="A41:A44" si="6">+A40+0.1</f>
        <v>5.1999999999999993</v>
      </c>
      <c r="B41" s="3" t="s">
        <v>130</v>
      </c>
      <c r="C41">
        <f>'Financial Statements'!B24</f>
        <v>6.15</v>
      </c>
      <c r="D41">
        <f>'Financial Statements'!C24</f>
        <v>5.67</v>
      </c>
      <c r="E41">
        <f>'Financial Statements'!D24</f>
        <v>3.31</v>
      </c>
      <c r="K41" t="s">
        <v>162</v>
      </c>
    </row>
    <row r="42" spans="1:13" ht="20" customHeight="1" x14ac:dyDescent="0.2">
      <c r="A42" s="18">
        <f t="shared" si="6"/>
        <v>5.2999999999999989</v>
      </c>
      <c r="B42" s="1" t="s">
        <v>131</v>
      </c>
      <c r="C42" s="27">
        <f ca="1">Instructions!G30/C43</f>
        <v>44.226517338964321</v>
      </c>
      <c r="D42" s="27">
        <f ca="1">Instructions!I30/D43</f>
        <v>37.458075574576007</v>
      </c>
      <c r="E42" s="27">
        <f ca="1">Instructions!K30/E43</f>
        <v>30.755733962717521</v>
      </c>
      <c r="K42" t="s">
        <v>167</v>
      </c>
    </row>
    <row r="43" spans="1:13" ht="20" customHeight="1" x14ac:dyDescent="0.2">
      <c r="A43" s="18">
        <f t="shared" si="6"/>
        <v>5.3999999999999986</v>
      </c>
      <c r="B43" s="3" t="s">
        <v>132</v>
      </c>
      <c r="C43" s="27">
        <f>'Financial Statements'!B68*1000/'Financial Statements'!B27</f>
        <v>3.124822127430853</v>
      </c>
      <c r="D43" s="27">
        <f>'Financial Statements'!C68*1000/'Financial Statements'!C27</f>
        <v>3.7775565837141025</v>
      </c>
      <c r="E43" s="27">
        <f>'Financial Statements'!D68*1000/'Financial Statements'!D27</f>
        <v>3.765476712094932</v>
      </c>
      <c r="K43" t="s">
        <v>163</v>
      </c>
    </row>
    <row r="44" spans="1:13" ht="20" customHeight="1" x14ac:dyDescent="0.2">
      <c r="A44" s="18">
        <f t="shared" si="6"/>
        <v>5.4999999999999982</v>
      </c>
      <c r="B44" s="1" t="s">
        <v>133</v>
      </c>
      <c r="C44" s="36">
        <f>-'Financial Statements'!B102/'Financial Statements'!B22</f>
        <v>0.14870294480125848</v>
      </c>
      <c r="D44" s="36">
        <f>-'Financial Statements'!C102/'Financial Statements'!C22</f>
        <v>0.15279890156316012</v>
      </c>
      <c r="E44" s="36">
        <f>-'Financial Statements'!D102/'Financial Statements'!D22</f>
        <v>0.24526658654264863</v>
      </c>
      <c r="K44" t="s">
        <v>164</v>
      </c>
    </row>
    <row r="45" spans="1:13" ht="20" customHeight="1" x14ac:dyDescent="0.2">
      <c r="A45" s="18"/>
      <c r="B45" s="3" t="s">
        <v>134</v>
      </c>
      <c r="C45" s="29">
        <f>-'Financial Statements'!B102*1000/'Financial Statements'!B27</f>
        <v>0.91520929099307891</v>
      </c>
      <c r="D45" s="29">
        <f>-'Financial Statements'!C102*1000/'Financial Statements'!C27</f>
        <v>0.86622144708498849</v>
      </c>
      <c r="E45" s="29">
        <f>-'Financial Statements'!D102*1000/'Financial Statements'!D27</f>
        <v>0.81148590555424382</v>
      </c>
      <c r="G45" t="s">
        <v>174</v>
      </c>
      <c r="K45" t="s">
        <v>165</v>
      </c>
    </row>
    <row r="46" spans="1:13" ht="20" customHeight="1" x14ac:dyDescent="0.2">
      <c r="A46" s="18">
        <f>+A44+0.1</f>
        <v>5.5999999999999979</v>
      </c>
      <c r="B46" s="1" t="s">
        <v>135</v>
      </c>
      <c r="C46" s="36">
        <f ca="1">C45/Instructions!G30</f>
        <v>6.6223537698486181E-3</v>
      </c>
      <c r="D46" s="36">
        <f ca="1">D45/Instructions!I30</f>
        <v>6.1217063398232401E-3</v>
      </c>
      <c r="E46" s="36">
        <f ca="1">E45/Instructions!K30</f>
        <v>7.0070452081361177E-3</v>
      </c>
      <c r="K46" t="s">
        <v>166</v>
      </c>
    </row>
    <row r="47" spans="1:13" ht="20" customHeight="1" x14ac:dyDescent="0.2">
      <c r="A47" s="18">
        <f t="shared" ref="A47:A50" si="7">+A45+0.1</f>
        <v>0.1</v>
      </c>
      <c r="B47" s="1" t="s">
        <v>136</v>
      </c>
      <c r="C47" s="36">
        <f>'Financial Statements'!B22/'Financial Statements'!B68</f>
        <v>1.9695887275023682</v>
      </c>
      <c r="D47" s="36">
        <f>'Financial Statements'!C22/'Financial Statements'!C68</f>
        <v>1.5007132667617689</v>
      </c>
      <c r="E47" s="36">
        <f>'Financial Statements'!D22/'Financial Statements'!D68</f>
        <v>0.87866358530127486</v>
      </c>
      <c r="K47" t="s">
        <v>169</v>
      </c>
    </row>
    <row r="48" spans="1:13" ht="20" customHeight="1" x14ac:dyDescent="0.2">
      <c r="A48" s="18">
        <f t="shared" si="7"/>
        <v>5.6999999999999975</v>
      </c>
      <c r="B48" s="1" t="s">
        <v>137</v>
      </c>
      <c r="C48" s="36">
        <f>C21/('Financial Statements'!B48-'Financial Statements'!B56)</f>
        <v>0.60087134570590572</v>
      </c>
      <c r="D48" s="36">
        <f>D21/('Financial Statements'!C48-'Financial Statements'!C56)</f>
        <v>0.48309913489209433</v>
      </c>
      <c r="E48" s="36">
        <f>E21/('Financial Statements'!D48-'Financial Statements'!D56)</f>
        <v>0.30338312829525482</v>
      </c>
      <c r="K48" t="s">
        <v>170</v>
      </c>
      <c r="M48" t="s">
        <v>171</v>
      </c>
    </row>
    <row r="49" spans="1:11" ht="20" customHeight="1" x14ac:dyDescent="0.2">
      <c r="A49" s="18">
        <f t="shared" si="7"/>
        <v>0.2</v>
      </c>
      <c r="B49" s="1" t="s">
        <v>127</v>
      </c>
      <c r="C49" s="36">
        <f>'Financial Statements'!B22/'Financial Statements'!B48</f>
        <v>0.28292440929256851</v>
      </c>
      <c r="D49" s="36">
        <f>'Financial Statements'!C22/'Financial Statements'!C48</f>
        <v>0.26974205275183616</v>
      </c>
      <c r="E49" s="36">
        <f>'Financial Statements'!D22/'Financial Statements'!D48</f>
        <v>0.1772557180259843</v>
      </c>
      <c r="K49" t="s">
        <v>172</v>
      </c>
    </row>
    <row r="50" spans="1:11" ht="20" customHeight="1" x14ac:dyDescent="0.2">
      <c r="A50" s="18">
        <f t="shared" si="7"/>
        <v>5.7999999999999972</v>
      </c>
      <c r="B50" s="1" t="s">
        <v>138</v>
      </c>
      <c r="C50" s="40">
        <f ca="1">C51/C19</f>
        <v>19.300320103262578</v>
      </c>
      <c r="D50" s="40">
        <f t="shared" ref="D50:E50" ca="1" si="8">D51/D19</f>
        <v>21.759433666297937</v>
      </c>
      <c r="E50" s="40">
        <f t="shared" ca="1" si="8"/>
        <v>28.833288960876089</v>
      </c>
      <c r="K50" t="s">
        <v>173</v>
      </c>
    </row>
    <row r="51" spans="1:11" ht="20" customHeight="1" x14ac:dyDescent="0.2">
      <c r="A51" s="18"/>
      <c r="B51" s="3" t="s">
        <v>139</v>
      </c>
      <c r="C51" s="35">
        <f ca="1">('Financial Statements'!B27*Instructions!G30/1000)+'Financial Statements'!B62-'Financial Statements'!B36</f>
        <v>2519483.0866</v>
      </c>
      <c r="D51" s="35">
        <f ca="1">('Financial Statements'!C27*Instructions!I30/1000)+'Financial Statements'!C62-'Financial Statements'!C36</f>
        <v>2616201.9879999999</v>
      </c>
      <c r="E51" s="35">
        <f ca="1">('Financial Statements'!D27*Instructions!K30/1000)+'Financial Statements'!D62-'Financial Statements'!D36</f>
        <v>2230081.9013900002</v>
      </c>
      <c r="G51" t="s">
        <v>160</v>
      </c>
      <c r="K51" t="s">
        <v>203</v>
      </c>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2020-05-18T16:32:37Z</dcterms:created>
  <dcterms:modified xsi:type="dcterms:W3CDTF">2023-05-25T21:50:50Z</dcterms:modified>
</cp:coreProperties>
</file>