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/Desktop/QCP/Task 2/"/>
    </mc:Choice>
  </mc:AlternateContent>
  <xr:revisionPtr revIDLastSave="0" documentId="13_ncr:1_{0BD4A7AC-AD94-B04C-857D-DE38A2FFAA4F}" xr6:coauthVersionLast="47" xr6:coauthVersionMax="47" xr10:uidLastSave="{00000000-0000-0000-0000-000000000000}"/>
  <bookViews>
    <workbookView xWindow="260" yWindow="480" windowWidth="28540" windowHeight="1616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3" l="1"/>
  <c r="H41" i="3"/>
  <c r="I41" i="3"/>
  <c r="H43" i="3"/>
  <c r="I43" i="3"/>
  <c r="H47" i="3"/>
  <c r="I47" i="3"/>
  <c r="H48" i="3"/>
  <c r="I48" i="3"/>
  <c r="H49" i="3"/>
  <c r="I49" i="3"/>
  <c r="I35" i="3"/>
  <c r="I36" i="3"/>
  <c r="I37" i="3"/>
  <c r="H35" i="3"/>
  <c r="H36" i="3"/>
  <c r="H37" i="3"/>
  <c r="H34" i="3"/>
  <c r="D31" i="3"/>
  <c r="E31" i="3"/>
  <c r="C31" i="3"/>
  <c r="H26" i="3" l="1"/>
  <c r="I26" i="3"/>
  <c r="H27" i="3"/>
  <c r="I27" i="3"/>
  <c r="H28" i="3"/>
  <c r="I28" i="3"/>
  <c r="H29" i="3"/>
  <c r="I29" i="3"/>
  <c r="H31" i="3"/>
  <c r="I31" i="3"/>
  <c r="I25" i="3"/>
  <c r="H25" i="3"/>
  <c r="H55" i="3"/>
  <c r="H6" i="3"/>
  <c r="I6" i="3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I5" i="3"/>
  <c r="H5" i="3"/>
  <c r="E51" i="3" l="1"/>
  <c r="E50" i="3" s="1"/>
  <c r="D51" i="3"/>
  <c r="C51" i="3"/>
  <c r="C50" i="3" s="1"/>
  <c r="D41" i="3"/>
  <c r="E41" i="3"/>
  <c r="C41" i="3"/>
  <c r="D48" i="3"/>
  <c r="E48" i="3"/>
  <c r="C48" i="3"/>
  <c r="D49" i="3"/>
  <c r="E49" i="3"/>
  <c r="C49" i="3"/>
  <c r="D47" i="3"/>
  <c r="E47" i="3"/>
  <c r="C47" i="3"/>
  <c r="D42" i="3"/>
  <c r="E42" i="3"/>
  <c r="C42" i="3"/>
  <c r="D43" i="3"/>
  <c r="E43" i="3"/>
  <c r="C43" i="3"/>
  <c r="D40" i="3"/>
  <c r="E40" i="3"/>
  <c r="C40" i="3"/>
  <c r="H51" i="3" l="1"/>
  <c r="I51" i="3"/>
  <c r="I40" i="3"/>
  <c r="H40" i="3"/>
  <c r="D50" i="3"/>
  <c r="H42" i="3"/>
  <c r="I42" i="3"/>
  <c r="D37" i="3"/>
  <c r="E37" i="3"/>
  <c r="C37" i="3"/>
  <c r="D36" i="3"/>
  <c r="E36" i="3"/>
  <c r="C36" i="3"/>
  <c r="D35" i="3"/>
  <c r="E35" i="3"/>
  <c r="C35" i="3"/>
  <c r="D34" i="3"/>
  <c r="C34" i="3"/>
  <c r="D30" i="3"/>
  <c r="E30" i="3"/>
  <c r="C30" i="3"/>
  <c r="H30" i="3" s="1"/>
  <c r="D29" i="3"/>
  <c r="E29" i="3"/>
  <c r="C29" i="3"/>
  <c r="D28" i="3"/>
  <c r="E28" i="3"/>
  <c r="C28" i="3"/>
  <c r="D27" i="3"/>
  <c r="E27" i="3"/>
  <c r="C27" i="3"/>
  <c r="D26" i="3"/>
  <c r="E26" i="3"/>
  <c r="C26" i="3"/>
  <c r="E25" i="3"/>
  <c r="D25" i="3"/>
  <c r="C25" i="3"/>
  <c r="D22" i="3"/>
  <c r="E22" i="3"/>
  <c r="C22" i="3"/>
  <c r="D20" i="3"/>
  <c r="E20" i="3"/>
  <c r="C20" i="3"/>
  <c r="D18" i="3"/>
  <c r="E18" i="3"/>
  <c r="C18" i="3"/>
  <c r="D21" i="3"/>
  <c r="E21" i="3"/>
  <c r="C21" i="3"/>
  <c r="D19" i="3"/>
  <c r="E19" i="3"/>
  <c r="C19" i="3"/>
  <c r="D17" i="3"/>
  <c r="E17" i="3"/>
  <c r="C17" i="3"/>
  <c r="D13" i="3"/>
  <c r="E13" i="3"/>
  <c r="C13" i="3"/>
  <c r="E14" i="3"/>
  <c r="D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8" i="3"/>
  <c r="E8" i="3"/>
  <c r="C8" i="3"/>
  <c r="H50" i="3" l="1"/>
  <c r="I50" i="3"/>
  <c r="I30" i="3"/>
  <c r="D68" i="2"/>
  <c r="D69" i="2" s="1"/>
  <c r="I69" i="2" s="1"/>
  <c r="D7" i="3"/>
  <c r="C7" i="3"/>
  <c r="D6" i="3"/>
  <c r="C6" i="3"/>
  <c r="D5" i="3"/>
  <c r="C5" i="3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36" i="2"/>
  <c r="I36" i="2"/>
  <c r="H37" i="2"/>
  <c r="I37" i="2"/>
  <c r="H38" i="2"/>
  <c r="I38" i="2"/>
  <c r="H39" i="2"/>
  <c r="I39" i="2"/>
  <c r="H40" i="2"/>
  <c r="I40" i="2"/>
  <c r="H41" i="2"/>
  <c r="H42" i="2"/>
  <c r="I42" i="2"/>
  <c r="H43" i="2"/>
  <c r="I43" i="2"/>
  <c r="H44" i="2"/>
  <c r="I44" i="2"/>
  <c r="H45" i="2"/>
  <c r="I45" i="2"/>
  <c r="H46" i="2"/>
  <c r="I46" i="2"/>
  <c r="H47" i="2"/>
  <c r="H48" i="2"/>
  <c r="H49" i="2"/>
  <c r="I49" i="2"/>
  <c r="H50" i="2"/>
  <c r="I50" i="2"/>
  <c r="H51" i="2"/>
  <c r="I51" i="2"/>
  <c r="H52" i="2"/>
  <c r="I52" i="2"/>
  <c r="H53" i="2"/>
  <c r="I53" i="2"/>
  <c r="H54" i="2"/>
  <c r="H55" i="2"/>
  <c r="I55" i="2"/>
  <c r="H56" i="2"/>
  <c r="I56" i="2"/>
  <c r="H57" i="2"/>
  <c r="I57" i="2"/>
  <c r="H58" i="2"/>
  <c r="I58" i="2"/>
  <c r="H59" i="2"/>
  <c r="H60" i="2"/>
  <c r="I60" i="2"/>
  <c r="H61" i="2"/>
  <c r="I61" i="2"/>
  <c r="H63" i="2"/>
  <c r="I63" i="2"/>
  <c r="H64" i="2"/>
  <c r="I64" i="2"/>
  <c r="H65" i="2"/>
  <c r="I65" i="2"/>
  <c r="H66" i="2"/>
  <c r="I66" i="2"/>
  <c r="H67" i="2"/>
  <c r="I67" i="2"/>
  <c r="H68" i="2"/>
  <c r="H69" i="2"/>
  <c r="H70" i="2"/>
  <c r="I70" i="2"/>
  <c r="H71" i="2"/>
  <c r="I71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I6" i="2"/>
  <c r="H6" i="2"/>
  <c r="C105" i="2"/>
  <c r="D105" i="2"/>
  <c r="B105" i="2"/>
  <c r="C96" i="2"/>
  <c r="D96" i="2"/>
  <c r="B96" i="2"/>
  <c r="C89" i="2"/>
  <c r="D89" i="2"/>
  <c r="B89" i="2"/>
  <c r="C68" i="2"/>
  <c r="B68" i="2"/>
  <c r="D59" i="2"/>
  <c r="I59" i="2" s="1"/>
  <c r="C59" i="2"/>
  <c r="B59" i="2"/>
  <c r="C54" i="2"/>
  <c r="D54" i="2"/>
  <c r="I54" i="2" s="1"/>
  <c r="B54" i="2"/>
  <c r="I68" i="2" l="1"/>
  <c r="E7" i="3"/>
  <c r="E6" i="3"/>
  <c r="B69" i="2"/>
  <c r="C69" i="2"/>
  <c r="C47" i="2" l="1"/>
  <c r="D47" i="2"/>
  <c r="I47" i="2" s="1"/>
  <c r="B47" i="2"/>
  <c r="B48" i="2" s="1"/>
  <c r="C24" i="2"/>
  <c r="D24" i="2"/>
  <c r="B24" i="2"/>
  <c r="C20" i="2"/>
  <c r="D20" i="2"/>
  <c r="B20" i="2"/>
  <c r="C15" i="2"/>
  <c r="D15" i="2"/>
  <c r="B15" i="2"/>
  <c r="C8" i="2"/>
  <c r="D8" i="2"/>
  <c r="B8" i="2"/>
  <c r="B41" i="2"/>
  <c r="C41" i="2"/>
  <c r="C48" i="2" l="1"/>
  <c r="D41" i="2"/>
  <c r="D48" i="2" l="1"/>
  <c r="I48" i="2" s="1"/>
  <c r="I41" i="2"/>
  <c r="E5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<sst xmlns="http://schemas.openxmlformats.org/spreadsheetml/2006/main" count="236" uniqueCount="209">
  <si>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</si>
  <si>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</si>
  <si>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</si>
  <si>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</si>
  <si>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</si>
  <si>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</si>
  <si>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</si>
  <si>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</si>
  <si>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</si>
  <si>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</si>
  <si>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</si>
  <si>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</si>
  <si>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</si>
  <si>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</si>
  <si>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</si>
  <si>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</si>
  <si>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</si>
  <si>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</si>
  <si>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</si>
  <si>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</si>
  <si>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</si>
  <si>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</si>
  <si>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</si>
  <si>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</si>
  <si>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</si>
  <si>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</si>
  <si>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</si>
  <si>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</si>
  <si>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</si>
  <si>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</si>
  <si>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</si>
  <si>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</si>
  <si>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</si>
  <si>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</si>
  <si>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</si>
  <si>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</si>
  <si>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</si>
  <si>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</si>
  <si>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</si>
  <si>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</si>
  <si>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</si>
  <si>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</si>
  <si>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</si>
  <si>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</si>
  <si>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</si>
  <si>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</si>
  <si>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</si>
  <si>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</si>
  <si>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</si>
  <si>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</si>
  <si>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</si>
  <si>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</si>
  <si>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</si>
  <si>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</si>
  <si>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</si>
  <si>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</si>
  <si>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</si>
  <si>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</si>
  <si>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</si>
  <si>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</si>
  <si>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</si>
  <si>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</si>
  <si>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</si>
  <si>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</si>
  <si>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net sales</t>
  </si>
  <si>
    <t>Years ended December</t>
  </si>
  <si>
    <t>Cost of sales</t>
  </si>
  <si>
    <t>Fulfillment</t>
  </si>
  <si>
    <t>Technology and content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</si>
  <si>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</si>
  <si>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</si>
  <si>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</si>
  <si>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</si>
  <si>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</si>
  <si>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 expense</t>
  </si>
  <si>
    <t>Other income (expense), net</t>
  </si>
  <si>
    <t>Total non-operating income (expense)</t>
  </si>
  <si>
    <t>Income before income taxes</t>
  </si>
  <si>
    <t>Provision for income taxes</t>
  </si>
  <si>
    <t>Net income</t>
  </si>
  <si>
    <t>Earnings per share:</t>
  </si>
  <si>
    <t>Basic</t>
  </si>
  <si>
    <t>Diluted</t>
  </si>
  <si>
    <t>Weighted-average shares used in computation of earnings per share:</t>
  </si>
  <si>
    <t>Current assets:</t>
  </si>
  <si>
    <t>Cash and cash equivalents</t>
  </si>
  <si>
    <t>Marketable securities</t>
  </si>
  <si>
    <t>Inventories</t>
  </si>
  <si>
    <t>Total current assets</t>
  </si>
  <si>
    <t>Non current assets:</t>
  </si>
  <si>
    <t>Total non current assets</t>
  </si>
  <si>
    <t>Total assets</t>
  </si>
  <si>
    <t>Accounts receivable, net and other</t>
  </si>
  <si>
    <t>Property and equipment, net</t>
  </si>
  <si>
    <t>Operating leases</t>
  </si>
  <si>
    <t>Goodwill</t>
  </si>
  <si>
    <t>Other assets</t>
  </si>
  <si>
    <t>Sales and marketing</t>
  </si>
  <si>
    <t>Equity-method investment activity, net of tax</t>
  </si>
  <si>
    <t>(In millions, except per share data)</t>
  </si>
  <si>
    <r>
      <rPr>
        <sz val="10"/>
        <rFont val="Times New Roman"/>
        <family val="1"/>
      </rPr>
      <t>—</t>
    </r>
  </si>
  <si>
    <t>Current liabilities:</t>
  </si>
  <si>
    <t>Accounts payable</t>
  </si>
  <si>
    <t>Total current liabilities</t>
  </si>
  <si>
    <t>Non current liabilities:</t>
  </si>
  <si>
    <t>Total non current liabilities</t>
  </si>
  <si>
    <t>Operating activities:</t>
  </si>
  <si>
    <t>Depreciation and amortization</t>
  </si>
  <si>
    <t>Changes in operating assets and liabilities:</t>
  </si>
  <si>
    <t>Investing activities:</t>
  </si>
  <si>
    <t>Purchases of marketable securities</t>
  </si>
  <si>
    <t>Financing activities:</t>
  </si>
  <si>
    <t>Cash, cash equivalents and restricted cash, ending balances</t>
  </si>
  <si>
    <t>Accrued expensed and other</t>
  </si>
  <si>
    <t>Unearned revenue</t>
  </si>
  <si>
    <t>Long-term lease liabilities</t>
  </si>
  <si>
    <t>Long-term debt</t>
  </si>
  <si>
    <t>Other long-term liabilities</t>
  </si>
  <si>
    <r>
      <rPr>
        <sz val="11"/>
        <rFont val="Calibri body"/>
      </rPr>
      <t>Stockholders’ equity:</t>
    </r>
  </si>
  <si>
    <r>
      <rPr>
        <sz val="11"/>
        <rFont val="Calibri body"/>
      </rPr>
      <t>Preferred stock ($0.01 par value; 500 shares authorized; no shares issued or outstanding)</t>
    </r>
  </si>
  <si>
    <r>
      <rPr>
        <sz val="11"/>
        <rFont val="Calibri body"/>
      </rPr>
      <t>Common stock ($0.01 par value; 100,000 shares authorized; 10,644 and 10,757 shares issued; 10,175 and 10,242 shares outstanding)</t>
    </r>
  </si>
  <si>
    <r>
      <rPr>
        <sz val="11"/>
        <rFont val="Calibri body"/>
      </rPr>
      <t>Treasury stock, at cost</t>
    </r>
  </si>
  <si>
    <r>
      <rPr>
        <sz val="11"/>
        <rFont val="Calibri body"/>
      </rPr>
      <t>Additional paid-in capital</t>
    </r>
  </si>
  <si>
    <r>
      <rPr>
        <sz val="11"/>
        <rFont val="Calibri body"/>
      </rPr>
      <t>Accumulated other comprehensive income (loss)</t>
    </r>
  </si>
  <si>
    <r>
      <rPr>
        <sz val="11"/>
        <rFont val="Calibri body"/>
      </rPr>
      <t>Retained earnings</t>
    </r>
  </si>
  <si>
    <r>
      <rPr>
        <b/>
        <sz val="11"/>
        <rFont val="Calibri body"/>
      </rPr>
      <t>Total stockholders’ equity</t>
    </r>
  </si>
  <si>
    <r>
      <rPr>
        <b/>
        <sz val="11"/>
        <rFont val="Calibri body"/>
      </rPr>
      <t>Total liabilities and stockholders’ equity</t>
    </r>
  </si>
  <si>
    <r>
      <rPr>
        <sz val="9"/>
        <rFont val="Times New Roman"/>
        <family val="1"/>
      </rPr>
      <t>—</t>
    </r>
  </si>
  <si>
    <t>Cash, cash equivalents and restricted cash, beginning of period</t>
  </si>
  <si>
    <t>Adjustments to reconcile net income (loss) to net cash from operating activities:</t>
  </si>
  <si>
    <t>Stock-based compensation</t>
  </si>
  <si>
    <t>Other expense (income), net</t>
  </si>
  <si>
    <t>Deferred income taxes</t>
  </si>
  <si>
    <t>Accrued expenses and other</t>
  </si>
  <si>
    <t>Net cash provided by (used in) operating activities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</si>
  <si>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</si>
  <si>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</si>
  <si>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</si>
  <si>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</si>
  <si>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</si>
  <si>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</si>
  <si>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</si>
  <si>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</si>
  <si>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</si>
  <si>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</si>
  <si>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</si>
  <si>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investing activities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</si>
  <si>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</si>
  <si>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</si>
  <si>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</si>
  <si>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GROWTH</t>
  </si>
  <si>
    <t>Supplemental cash flow information</t>
  </si>
  <si>
    <t>Cash paid for interest on debt</t>
  </si>
  <si>
    <t>Cash paid for operating leases</t>
  </si>
  <si>
    <t>Cash paid for interest on financing obligations</t>
  </si>
  <si>
    <t>Cash paid for income taxes, net of refunds</t>
  </si>
  <si>
    <t>Assets acquired under operating leases</t>
  </si>
  <si>
    <t xml:space="preserve">Property and equipment acquired under finance leases, net of remeasurements and
modifications </t>
  </si>
  <si>
    <t>Property and equipment recognized during the construction period of build-to-suit lease arrangements</t>
  </si>
  <si>
    <t xml:space="preserve">Property and equipment derecognized after the construction period of build-to-suit lease
arrangements, with the associated leases recognized as operating </t>
  </si>
  <si>
    <t>Cash paid for interest on finance leases</t>
  </si>
  <si>
    <t>Current Assets / Current Liabilities</t>
  </si>
  <si>
    <t>Quick Assets / Current Liabilities</t>
  </si>
  <si>
    <t>Quick Assets = Cash + Cash Equivalents + Marketable Securities + Net Accounts Receivable</t>
  </si>
  <si>
    <t>Cash + Cash Equivalents / Current Liabilities</t>
  </si>
  <si>
    <t>Current Assets / Daily Operational Expenses</t>
  </si>
  <si>
    <t>Daily Operational Expenses = (Annual Operating Expenses - Noncash Charges) / 365</t>
  </si>
  <si>
    <t>(Average Inventory / COGS) x 365</t>
  </si>
  <si>
    <t>(Accounts Payable / COGS) x 365</t>
  </si>
  <si>
    <t>(Accounts Receivable / Total Net Sales) x 365</t>
  </si>
  <si>
    <t>Inventory Days + Receivable Days - Payable Days</t>
  </si>
  <si>
    <t>Working Capital / Total Net Sales</t>
  </si>
  <si>
    <t>IN MILLIONS</t>
  </si>
  <si>
    <t>Current Assets - Current Liabilities</t>
  </si>
  <si>
    <t>Net Sales − COGS</t>
  </si>
  <si>
    <t>EBITDA / Total Net Sales</t>
  </si>
  <si>
    <t>Operating Income + Depreciation &amp; Amortization</t>
  </si>
  <si>
    <t>EBIT / Total Net Sales</t>
  </si>
  <si>
    <t>Operating Income</t>
  </si>
  <si>
    <t>OR</t>
  </si>
  <si>
    <t>Net Income + Interest + Taxes</t>
  </si>
  <si>
    <t>Net Income / Total Net sales</t>
  </si>
  <si>
    <t>Term debt / Total Shareholders Equity</t>
  </si>
  <si>
    <t>Term Debt / Total Assets</t>
  </si>
  <si>
    <t>Term Debt / Non-Current Liabilities + Shareholders Equity</t>
  </si>
  <si>
    <t>EBIT / Interest Expense</t>
  </si>
  <si>
    <t>EBIT / (Interest + Debt repayment)</t>
  </si>
  <si>
    <t>Net Sales / Average Total Assets</t>
  </si>
  <si>
    <t>Average Total Assets = (Total Asset Current Year + Total Asset Previous Year) / 2</t>
  </si>
  <si>
    <t>Net Sales / Average Fixed Assets</t>
  </si>
  <si>
    <t>Average Fixed Assets = (Opening Balance + Closing Balance) / 2</t>
  </si>
  <si>
    <t>COGS / Average Inventory</t>
  </si>
  <si>
    <t>Net Income / Total Assets</t>
  </si>
  <si>
    <t>Share Price / EPS</t>
  </si>
  <si>
    <t>(Net Income - Preferred Dividends) / Average Outstanding Common Shares</t>
  </si>
  <si>
    <t>Share Price / Book Value per Share</t>
  </si>
  <si>
    <t>(Total Equity - Preferred Equity) / Total Shares Outstanding</t>
  </si>
  <si>
    <t>Dividend Paid / Net Income</t>
  </si>
  <si>
    <t>Dividend Paid / Total Shares Outstanding</t>
  </si>
  <si>
    <t>Dividend Per Share / Share Price</t>
  </si>
  <si>
    <t>Net Income / Average Shareholders Equity</t>
  </si>
  <si>
    <t>EBIT / Capital Employed</t>
  </si>
  <si>
    <t>Capital Employed = Equity + Term Debt</t>
  </si>
  <si>
    <t>EV / EBITDA</t>
  </si>
  <si>
    <t>Market Cap + Total Debt - (Cash + Cash Equivalents)</t>
  </si>
  <si>
    <t>need 2019 data</t>
  </si>
  <si>
    <t>Share price on December 30</t>
  </si>
  <si>
    <t>Cash from operations + Capex + Proceeds from issuance of term debt</t>
  </si>
  <si>
    <t>Solvency/debt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</si>
</sst>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[$$-409]* #,##0_);_([$$-409]* \(#,##0\);_([$$-409]* &quot;-&quot;??_);_(@_)"/>
    <numFmt numFmtId="167" formatCode="_([$$-409]* #,##0.00_);_([$$-409]* \(#,##0.00\);_([$$-409]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 body"/>
    </font>
    <font>
      <b/>
      <sz val="11"/>
      <color theme="1"/>
      <name val="Calibri body"/>
    </font>
    <font>
      <sz val="11"/>
      <name val="Calibri body"/>
    </font>
    <font>
      <b/>
      <sz val="11"/>
      <name val="Calibri body"/>
    </font>
    <font>
      <sz val="9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b/>
      <sz val="18"/>
      <color rgb="FF111111"/>
      <name val="Arial"/>
      <family val="2"/>
    </font>
    <font>
      <sz val="13"/>
      <color theme="1"/>
      <name val="Arial"/>
      <family val="2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Border="1"/>
    <xf numFmtId="164" fontId="2" fillId="0" borderId="0" xfId="1" applyNumberFormat="1" applyFont="1" applyBorder="1"/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indent="1"/>
    </xf>
    <xf numFmtId="164" fontId="0" fillId="0" borderId="0" xfId="1" applyNumberFormat="1" applyFont="1" applyBorder="1"/>
    <xf numFmtId="0" fontId="0" fillId="0" borderId="3" xfId="0" applyBorder="1" applyAlignment="1">
      <alignment horizontal="left" indent="1"/>
    </xf>
    <xf numFmtId="164" fontId="0" fillId="0" borderId="3" xfId="1" applyNumberFormat="1" applyFont="1" applyBorder="1"/>
    <xf numFmtId="0" fontId="2" fillId="0" borderId="4" xfId="0" applyFont="1" applyBorder="1"/>
    <xf numFmtId="164" fontId="0" fillId="0" borderId="4" xfId="1" applyNumberFormat="1" applyFont="1" applyBorder="1"/>
    <xf numFmtId="164" fontId="0" fillId="0" borderId="0" xfId="1" applyNumberFormat="1" applyFont="1" applyAlignment="1">
      <alignment horizontal="right"/>
    </xf>
    <xf numFmtId="164" fontId="0" fillId="0" borderId="0" xfId="0" applyNumberFormat="1"/>
    <xf numFmtId="0" fontId="9" fillId="0" borderId="0" xfId="0" applyFont="1"/>
    <xf numFmtId="0" fontId="9" fillId="0" borderId="0" xfId="0" applyFont="1" applyAlignment="1">
      <alignment horizontal="left" indent="1"/>
    </xf>
    <xf numFmtId="0" fontId="10" fillId="0" borderId="1" xfId="0" applyFont="1" applyBorder="1"/>
    <xf numFmtId="0" fontId="10" fillId="0" borderId="2" xfId="0" applyFont="1" applyBorder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 indent="2"/>
    </xf>
    <xf numFmtId="0" fontId="14" fillId="0" borderId="3" xfId="0" applyFont="1" applyBorder="1" applyAlignment="1">
      <alignment horizontal="left" vertical="top" wrapText="1" indent="2"/>
    </xf>
    <xf numFmtId="0" fontId="15" fillId="0" borderId="0" xfId="0" applyFont="1" applyAlignment="1">
      <alignment horizontal="left" vertical="top" wrapText="1" indent="2"/>
    </xf>
    <xf numFmtId="10" fontId="0" fillId="0" borderId="0" xfId="4" applyNumberFormat="1" applyFont="1"/>
    <xf numFmtId="10" fontId="2" fillId="0" borderId="1" xfId="4" applyNumberFormat="1" applyFont="1" applyBorder="1"/>
    <xf numFmtId="10" fontId="0" fillId="0" borderId="0" xfId="4" applyNumberFormat="1" applyFont="1" applyBorder="1"/>
    <xf numFmtId="10" fontId="0" fillId="0" borderId="3" xfId="4" applyNumberFormat="1" applyFont="1" applyBorder="1"/>
    <xf numFmtId="10" fontId="2" fillId="0" borderId="0" xfId="4" applyNumberFormat="1" applyFont="1" applyBorder="1"/>
    <xf numFmtId="10" fontId="0" fillId="0" borderId="4" xfId="4" applyNumberFormat="1" applyFont="1" applyBorder="1"/>
    <xf numFmtId="10" fontId="2" fillId="0" borderId="2" xfId="4" applyNumberFormat="1" applyFont="1" applyBorder="1"/>
    <xf numFmtId="10" fontId="0" fillId="0" borderId="0" xfId="4" applyNumberFormat="1" applyFont="1" applyAlignment="1">
      <alignment horizontal="right"/>
    </xf>
    <xf numFmtId="10" fontId="2" fillId="0" borderId="0" xfId="4" applyNumberFormat="1" applyFont="1"/>
    <xf numFmtId="0" fontId="0" fillId="0" borderId="0" xfId="0" applyFont="1" applyFill="1" applyBorder="1"/>
    <xf numFmtId="2" fontId="0" fillId="0" borderId="0" xfId="0" applyNumberFormat="1"/>
    <xf numFmtId="1" fontId="0" fillId="0" borderId="0" xfId="0" applyNumberFormat="1"/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7" fontId="0" fillId="0" borderId="0" xfId="0" applyNumberFormat="1"/>
    <xf numFmtId="166" fontId="0" fillId="0" borderId="0" xfId="3" applyNumberFormat="1" applyFont="1"/>
    <xf numFmtId="0" fontId="17" fillId="0" borderId="0" xfId="0" applyFont="1"/>
    <xf numFmtId="2" fontId="0" fillId="0" borderId="0" xfId="4" applyNumberFormat="1" applyFont="1"/>
    <xf numFmtId="14" fontId="0" fillId="0" borderId="0" xfId="0" applyNumberFormat="1"/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8" fillId="0" borderId="0" xfId="0" applyFon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 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="106" workbookViewId="0">
      <selection activeCell="A9" sqref="A9"/>
    </sheetView>
  </sheetViews>
  <sheetFormatPr baseColWidth="10" defaultColWidth="8.83203125" defaultRowHeight="15"/>
  <cols>
    <col min="1" max="1" width="157.83203125" style="2" customWidth="1"/>
  </cols>
  <sheetData>
    <row r="1" spans="1:1" ht="25">
      <c r="A1" s="3" t="s">
        <v>0</v>
      </c>
    </row>
    <row r="3" spans="1:1" ht="16">
      <c r="A3" s="2" t="s">
        <v>61</v>
      </c>
    </row>
    <row r="4" spans="1:1" ht="16">
      <c r="A4" s="5" t="s">
        <v>5</v>
      </c>
    </row>
    <row r="5" spans="1:1" ht="16">
      <c r="A5" s="6" t="s">
        <v>1</v>
      </c>
    </row>
    <row r="7" spans="1:1" ht="16">
      <c r="A7" s="2" t="s">
        <v>59</v>
      </c>
    </row>
    <row r="8" spans="1:1" ht="16">
      <c r="A8" s="2" t="s">
        <v>60</v>
      </c>
    </row>
    <row r="9" spans="1:1" ht="16">
      <c r="A9" s="2" t="s">
        <v>2</v>
      </c>
    </row>
    <row r="10" spans="1:1" ht="16">
      <c r="A10" s="2" t="s">
        <v>6</v>
      </c>
    </row>
    <row r="11" spans="1:1" ht="16">
      <c r="A11" s="2" t="s">
        <v>4</v>
      </c>
    </row>
    <row r="13" spans="1:1" ht="16">
      <c r="A13" s="4" t="s">
        <v>3</v>
      </c>
    </row>
    <row r="14" spans="1:1" ht="16">
      <c r="A14" s="2" t="s">
        <v>7</v>
      </c>
    </row>
    <row r="15" spans="1:1" ht="16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4"/>
  <sheetViews>
    <sheetView topLeftCell="A75" zoomScaleNormal="100" workbookViewId="0">
      <selection activeCell="A101" sqref="A101"/>
    </sheetView>
  </sheetViews>
  <sheetFormatPr baseColWidth="10" defaultColWidth="8.83203125" defaultRowHeight="15"/>
  <cols>
    <col min="1" max="1" width="59" customWidth="1"/>
    <col min="2" max="4" width="11.5" customWidth="1"/>
    <col min="8" max="9" width="11.5" customWidth="1"/>
  </cols>
  <sheetData>
    <row r="1" spans="1:10" ht="60" customHeight="1">
      <c r="A1" s="7" t="s">
        <v>54</v>
      </c>
      <c r="B1" s="8" t="s">
        <v>99</v>
      </c>
      <c r="C1" s="8"/>
      <c r="D1" s="8"/>
      <c r="E1" s="8"/>
      <c r="F1" s="8"/>
      <c r="G1" s="8"/>
      <c r="H1" s="8"/>
      <c r="I1" s="8"/>
      <c r="J1" s="8"/>
    </row>
    <row r="2" spans="1:10" ht="15" customHeight="1">
      <c r="A2" s="65" t="s">
        <v>9</v>
      </c>
      <c r="B2" s="65"/>
      <c r="C2" s="65"/>
      <c r="D2" s="65"/>
    </row>
    <row r="3" spans="1:10" ht="15" customHeight="1">
      <c r="B3" s="64" t="s">
        <v>65</v>
      </c>
      <c r="C3" s="64"/>
      <c r="D3" s="64"/>
      <c r="H3" s="63" t="s">
        <v>150</v>
      </c>
      <c r="I3" s="63"/>
    </row>
    <row r="4" spans="1:10" ht="15" customHeight="1">
      <c r="B4" s="9">
        <v>2022</v>
      </c>
      <c r="C4" s="9">
        <v>2021</v>
      </c>
      <c r="D4" s="9">
        <v>2020</v>
      </c>
      <c r="H4" s="9">
        <v>2022</v>
      </c>
      <c r="I4" s="9">
        <v>2021</v>
      </c>
    </row>
    <row r="5" spans="1:10" ht="15" customHeight="1">
      <c r="B5" s="16"/>
      <c r="C5" s="16"/>
      <c r="D5" s="16"/>
    </row>
    <row r="6" spans="1:10" ht="15" customHeight="1">
      <c r="A6" s="1" t="s">
        <v>62</v>
      </c>
      <c r="B6" s="10">
        <v>242901</v>
      </c>
      <c r="C6" s="10">
        <v>241787</v>
      </c>
      <c r="D6" s="10">
        <v>215915</v>
      </c>
      <c r="H6" s="43">
        <f>IF(B6="","",(B6-C6)/C6)</f>
        <v>4.6073610243726913E-3</v>
      </c>
      <c r="I6" s="43">
        <f>IF(C6="","",(C6-D6)/D6)</f>
        <v>0.11982493110714865</v>
      </c>
    </row>
    <row r="7" spans="1:10" ht="15" customHeight="1">
      <c r="A7" s="1" t="s">
        <v>63</v>
      </c>
      <c r="B7" s="10">
        <v>271082</v>
      </c>
      <c r="C7" s="10">
        <v>228035</v>
      </c>
      <c r="D7" s="10">
        <v>170149</v>
      </c>
      <c r="H7" s="43">
        <f t="shared" ref="H7:H70" si="0">IF(B7="","",(B7-C7)/C7)</f>
        <v>0.18877365316727696</v>
      </c>
      <c r="I7" s="43">
        <f t="shared" ref="I7:I70" si="1">IF(C7="","",(C7-D7)/D7)</f>
        <v>0.34020770030972852</v>
      </c>
    </row>
    <row r="8" spans="1:10" ht="15" customHeight="1">
      <c r="A8" s="11" t="s">
        <v>64</v>
      </c>
      <c r="B8" s="12">
        <f>SUM(B6:B7)</f>
        <v>513983</v>
      </c>
      <c r="C8" s="12">
        <f t="shared" ref="C8:D8" si="2">SUM(C6:C7)</f>
        <v>469822</v>
      </c>
      <c r="D8" s="12">
        <f t="shared" si="2"/>
        <v>386064</v>
      </c>
      <c r="H8" s="44">
        <f t="shared" si="0"/>
        <v>9.3995172639850841E-2</v>
      </c>
      <c r="I8" s="44">
        <f t="shared" si="1"/>
        <v>0.21695366571345684</v>
      </c>
    </row>
    <row r="9" spans="1:10" ht="15" customHeight="1">
      <c r="A9" s="1" t="s">
        <v>66</v>
      </c>
      <c r="B9" s="10">
        <v>288831</v>
      </c>
      <c r="C9" s="10">
        <v>272344</v>
      </c>
      <c r="D9" s="10">
        <v>233307</v>
      </c>
      <c r="H9" s="43">
        <f t="shared" si="0"/>
        <v>6.0537408571512498E-2</v>
      </c>
      <c r="I9" s="43">
        <f t="shared" si="1"/>
        <v>0.16732031186376747</v>
      </c>
    </row>
    <row r="10" spans="1:10" ht="15" customHeight="1">
      <c r="A10" s="1" t="s">
        <v>67</v>
      </c>
      <c r="B10" s="10">
        <v>84299</v>
      </c>
      <c r="C10" s="10">
        <v>75111</v>
      </c>
      <c r="D10" s="10">
        <v>58517</v>
      </c>
      <c r="H10" s="43">
        <f t="shared" si="0"/>
        <v>0.12232562474204843</v>
      </c>
      <c r="I10" s="43">
        <f t="shared" si="1"/>
        <v>0.28357571304065488</v>
      </c>
    </row>
    <row r="11" spans="1:10" ht="15" customHeight="1">
      <c r="A11" s="1" t="s">
        <v>68</v>
      </c>
      <c r="B11" s="10">
        <v>73213</v>
      </c>
      <c r="C11" s="10">
        <v>56052</v>
      </c>
      <c r="D11" s="10">
        <v>42740</v>
      </c>
      <c r="H11" s="43">
        <f t="shared" si="0"/>
        <v>0.3061621351602084</v>
      </c>
      <c r="I11" s="43">
        <f t="shared" si="1"/>
        <v>0.31146467009826861</v>
      </c>
    </row>
    <row r="12" spans="1:10" ht="15" customHeight="1">
      <c r="A12" s="1" t="s">
        <v>97</v>
      </c>
      <c r="B12" s="10">
        <v>42238</v>
      </c>
      <c r="C12" s="10">
        <v>32551</v>
      </c>
      <c r="D12" s="10">
        <v>22008</v>
      </c>
      <c r="H12" s="43">
        <f t="shared" si="0"/>
        <v>0.29759454394642254</v>
      </c>
      <c r="I12" s="43">
        <f t="shared" si="1"/>
        <v>0.47905307161032351</v>
      </c>
    </row>
    <row r="13" spans="1:10" ht="15" customHeight="1">
      <c r="A13" s="27" t="s">
        <v>69</v>
      </c>
      <c r="B13" s="28">
        <v>11891</v>
      </c>
      <c r="C13" s="28">
        <v>8823</v>
      </c>
      <c r="D13" s="28">
        <v>6668</v>
      </c>
      <c r="H13" s="45">
        <f t="shared" si="0"/>
        <v>0.3477275303184858</v>
      </c>
      <c r="I13" s="45">
        <f t="shared" si="1"/>
        <v>0.32318536292741451</v>
      </c>
    </row>
    <row r="14" spans="1:10" ht="15" customHeight="1">
      <c r="A14" s="29" t="s">
        <v>70</v>
      </c>
      <c r="B14" s="30">
        <v>1263</v>
      </c>
      <c r="C14" s="30">
        <v>62</v>
      </c>
      <c r="D14" s="30">
        <v>-75</v>
      </c>
      <c r="H14" s="46">
        <f t="shared" si="0"/>
        <v>19.370967741935484</v>
      </c>
      <c r="I14" s="46">
        <f t="shared" si="1"/>
        <v>-1.8266666666666667</v>
      </c>
    </row>
    <row r="15" spans="1:10" ht="15" customHeight="1">
      <c r="A15" s="24" t="s">
        <v>71</v>
      </c>
      <c r="B15" s="25">
        <f>SUM(B9:B14)</f>
        <v>501735</v>
      </c>
      <c r="C15" s="25">
        <f t="shared" ref="C15:D15" si="3">SUM(C9:C14)</f>
        <v>444943</v>
      </c>
      <c r="D15" s="25">
        <f t="shared" si="3"/>
        <v>363165</v>
      </c>
      <c r="H15" s="47">
        <f t="shared" si="0"/>
        <v>0.12763882115237232</v>
      </c>
      <c r="I15" s="47">
        <f t="shared" si="1"/>
        <v>0.22518139137857449</v>
      </c>
    </row>
    <row r="16" spans="1:10" ht="15" customHeight="1">
      <c r="A16" s="31" t="s">
        <v>72</v>
      </c>
      <c r="B16" s="32">
        <v>12248</v>
      </c>
      <c r="C16" s="32">
        <v>24879</v>
      </c>
      <c r="D16" s="32">
        <v>22899</v>
      </c>
      <c r="H16" s="48">
        <f t="shared" si="0"/>
        <v>-0.50769725471281002</v>
      </c>
      <c r="I16" s="48">
        <f t="shared" si="1"/>
        <v>8.6466657932660812E-2</v>
      </c>
    </row>
    <row r="17" spans="1:9" ht="15" customHeight="1">
      <c r="A17" s="1" t="s">
        <v>73</v>
      </c>
      <c r="B17" s="10">
        <v>989</v>
      </c>
      <c r="C17" s="10">
        <v>448</v>
      </c>
      <c r="D17" s="10">
        <v>555</v>
      </c>
      <c r="H17" s="43">
        <f t="shared" si="0"/>
        <v>1.2075892857142858</v>
      </c>
      <c r="I17" s="43">
        <f t="shared" si="1"/>
        <v>-0.19279279279279279</v>
      </c>
    </row>
    <row r="18" spans="1:9" ht="15" customHeight="1">
      <c r="A18" s="1" t="s">
        <v>74</v>
      </c>
      <c r="B18" s="10">
        <v>-2367</v>
      </c>
      <c r="C18" s="10">
        <v>-1809</v>
      </c>
      <c r="D18" s="10">
        <v>-1647</v>
      </c>
      <c r="H18" s="43">
        <f t="shared" si="0"/>
        <v>0.30845771144278605</v>
      </c>
      <c r="I18" s="43">
        <f t="shared" si="1"/>
        <v>9.8360655737704916E-2</v>
      </c>
    </row>
    <row r="19" spans="1:9" ht="15" customHeight="1">
      <c r="A19" s="1" t="s">
        <v>75</v>
      </c>
      <c r="B19" s="10">
        <v>-16806</v>
      </c>
      <c r="C19" s="10">
        <v>14633</v>
      </c>
      <c r="D19" s="10">
        <v>2371</v>
      </c>
      <c r="H19" s="43">
        <f t="shared" si="0"/>
        <v>-2.1484999658306569</v>
      </c>
      <c r="I19" s="43">
        <f t="shared" si="1"/>
        <v>5.1716575284690007</v>
      </c>
    </row>
    <row r="20" spans="1:9" ht="15" customHeight="1">
      <c r="A20" s="11" t="s">
        <v>76</v>
      </c>
      <c r="B20" s="12">
        <f>SUM(B17:B19)</f>
        <v>-18184</v>
      </c>
      <c r="C20" s="12">
        <f t="shared" ref="C20:D20" si="4">SUM(C17:C19)</f>
        <v>13272</v>
      </c>
      <c r="D20" s="12">
        <f t="shared" si="4"/>
        <v>1279</v>
      </c>
      <c r="H20" s="44">
        <f t="shared" si="0"/>
        <v>-2.3701024713682943</v>
      </c>
      <c r="I20" s="44">
        <f t="shared" si="1"/>
        <v>9.3768569194683344</v>
      </c>
    </row>
    <row r="21" spans="1:9" s="24" customFormat="1" ht="15" customHeight="1">
      <c r="A21" s="1" t="s">
        <v>77</v>
      </c>
      <c r="B21" s="10">
        <v>-5936</v>
      </c>
      <c r="C21" s="10">
        <v>38151</v>
      </c>
      <c r="D21" s="10">
        <v>24178</v>
      </c>
      <c r="H21" s="43">
        <f t="shared" si="0"/>
        <v>-1.1555922518413673</v>
      </c>
      <c r="I21" s="43">
        <f t="shared" si="1"/>
        <v>0.57792207792207795</v>
      </c>
    </row>
    <row r="22" spans="1:9" s="24" customFormat="1" ht="15" customHeight="1">
      <c r="A22" s="1" t="s">
        <v>78</v>
      </c>
      <c r="B22" s="10">
        <v>3217</v>
      </c>
      <c r="C22" s="10">
        <v>-4791</v>
      </c>
      <c r="D22" s="10">
        <v>-2863</v>
      </c>
      <c r="H22" s="43">
        <f t="shared" si="0"/>
        <v>-1.6714673345856814</v>
      </c>
      <c r="I22" s="43">
        <f t="shared" si="1"/>
        <v>0.67341949004540691</v>
      </c>
    </row>
    <row r="23" spans="1:9" ht="15" customHeight="1">
      <c r="A23" s="1" t="s">
        <v>98</v>
      </c>
      <c r="B23" s="10">
        <v>-3</v>
      </c>
      <c r="C23" s="10">
        <v>4</v>
      </c>
      <c r="D23" s="10">
        <v>16</v>
      </c>
      <c r="H23" s="43">
        <f t="shared" si="0"/>
        <v>-1.75</v>
      </c>
      <c r="I23" s="43">
        <f t="shared" si="1"/>
        <v>-0.75</v>
      </c>
    </row>
    <row r="24" spans="1:9" ht="15" customHeight="1" thickBot="1">
      <c r="A24" s="13" t="s">
        <v>79</v>
      </c>
      <c r="B24" s="14">
        <f>SUM(B21:B23)</f>
        <v>-2722</v>
      </c>
      <c r="C24" s="14">
        <f t="shared" ref="C24:D24" si="5">SUM(C21:C23)</f>
        <v>33364</v>
      </c>
      <c r="D24" s="14">
        <f t="shared" si="5"/>
        <v>21331</v>
      </c>
      <c r="H24" s="49">
        <f t="shared" si="0"/>
        <v>-1.0815849418534949</v>
      </c>
      <c r="I24" s="49">
        <f t="shared" si="1"/>
        <v>0.56410857437532225</v>
      </c>
    </row>
    <row r="25" spans="1:9" ht="15" customHeight="1" thickTop="1">
      <c r="A25" s="1" t="s">
        <v>80</v>
      </c>
      <c r="H25" s="43" t="str">
        <f t="shared" si="0"/>
        <v/>
      </c>
      <c r="I25" s="43" t="str">
        <f t="shared" si="1"/>
        <v/>
      </c>
    </row>
    <row r="26" spans="1:9" ht="15" customHeight="1">
      <c r="A26" s="1" t="s">
        <v>81</v>
      </c>
      <c r="B26" s="15">
        <v>-0.27</v>
      </c>
      <c r="C26" s="15">
        <v>3.3</v>
      </c>
      <c r="D26" s="15">
        <v>2.13</v>
      </c>
      <c r="H26" s="43"/>
      <c r="I26" s="43"/>
    </row>
    <row r="27" spans="1:9" ht="15" customHeight="1">
      <c r="A27" s="1" t="s">
        <v>82</v>
      </c>
      <c r="B27" s="15">
        <v>-0.27</v>
      </c>
      <c r="C27" s="15">
        <v>3.24</v>
      </c>
      <c r="D27" s="15">
        <v>2.09</v>
      </c>
      <c r="H27" s="43"/>
      <c r="I27" s="43"/>
    </row>
    <row r="28" spans="1:9" ht="15" customHeight="1">
      <c r="A28" s="1" t="s">
        <v>83</v>
      </c>
      <c r="H28" s="43"/>
      <c r="I28" s="43"/>
    </row>
    <row r="29" spans="1:9" ht="15" customHeight="1">
      <c r="A29" s="1" t="s">
        <v>81</v>
      </c>
      <c r="B29" s="10">
        <v>10189</v>
      </c>
      <c r="C29" s="10">
        <v>10117</v>
      </c>
      <c r="D29" s="10">
        <v>10005</v>
      </c>
      <c r="H29" s="43"/>
      <c r="I29" s="43"/>
    </row>
    <row r="30" spans="1:9" ht="15" customHeight="1">
      <c r="A30" s="1" t="s">
        <v>82</v>
      </c>
      <c r="B30" s="10">
        <v>10189</v>
      </c>
      <c r="C30" s="10">
        <v>10296</v>
      </c>
      <c r="D30" s="10">
        <v>10198</v>
      </c>
      <c r="H30" s="43"/>
      <c r="I30" s="43"/>
    </row>
    <row r="31" spans="1:9" ht="15" customHeight="1">
      <c r="H31" s="43"/>
      <c r="I31" s="43"/>
    </row>
    <row r="32" spans="1:9" ht="15" customHeight="1">
      <c r="H32" s="43"/>
      <c r="I32" s="43"/>
    </row>
    <row r="33" spans="1:9" ht="15" customHeight="1">
      <c r="A33" s="65" t="s">
        <v>11</v>
      </c>
      <c r="B33" s="65"/>
      <c r="C33" s="65"/>
      <c r="D33" s="65"/>
      <c r="H33" s="43"/>
      <c r="I33" s="43"/>
    </row>
    <row r="34" spans="1:9" ht="15" customHeight="1">
      <c r="B34" s="64" t="s">
        <v>56</v>
      </c>
      <c r="C34" s="64"/>
      <c r="D34" s="64"/>
      <c r="H34" s="43"/>
      <c r="I34" s="43"/>
    </row>
    <row r="35" spans="1:9" ht="15" customHeight="1">
      <c r="B35" s="9">
        <v>2022</v>
      </c>
      <c r="C35" s="9">
        <v>2021</v>
      </c>
      <c r="D35" s="9">
        <v>2020</v>
      </c>
      <c r="H35" s="43"/>
      <c r="I35" s="43"/>
    </row>
    <row r="36" spans="1:9" ht="15" customHeight="1">
      <c r="A36" t="s">
        <v>84</v>
      </c>
      <c r="B36" s="10"/>
      <c r="C36" s="10"/>
      <c r="H36" s="43" t="str">
        <f t="shared" si="0"/>
        <v/>
      </c>
      <c r="I36" s="43" t="str">
        <f t="shared" si="1"/>
        <v/>
      </c>
    </row>
    <row r="37" spans="1:9" ht="15" customHeight="1">
      <c r="A37" s="1" t="s">
        <v>85</v>
      </c>
      <c r="B37" s="10">
        <v>53888</v>
      </c>
      <c r="C37" s="10">
        <v>36220</v>
      </c>
      <c r="D37" s="10">
        <v>42122</v>
      </c>
      <c r="H37" s="43">
        <f t="shared" si="0"/>
        <v>0.48779679734953063</v>
      </c>
      <c r="I37" s="43">
        <f t="shared" si="1"/>
        <v>-0.14011680357058071</v>
      </c>
    </row>
    <row r="38" spans="1:9" ht="15" customHeight="1">
      <c r="A38" s="1" t="s">
        <v>86</v>
      </c>
      <c r="B38" s="10">
        <v>16138</v>
      </c>
      <c r="C38" s="10">
        <v>59829</v>
      </c>
      <c r="D38" s="10">
        <v>42274</v>
      </c>
      <c r="H38" s="43">
        <f t="shared" si="0"/>
        <v>-0.7302645874074446</v>
      </c>
      <c r="I38" s="43">
        <f t="shared" si="1"/>
        <v>0.41526706722808343</v>
      </c>
    </row>
    <row r="39" spans="1:9" ht="15" customHeight="1">
      <c r="A39" s="1" t="s">
        <v>87</v>
      </c>
      <c r="B39" s="10">
        <v>34405</v>
      </c>
      <c r="C39" s="10">
        <v>32640</v>
      </c>
      <c r="D39" s="10">
        <v>23795</v>
      </c>
      <c r="H39" s="43">
        <f t="shared" si="0"/>
        <v>5.4074754901960786E-2</v>
      </c>
      <c r="I39" s="43">
        <f t="shared" si="1"/>
        <v>0.37171674721580161</v>
      </c>
    </row>
    <row r="40" spans="1:9" ht="15" customHeight="1">
      <c r="A40" s="1" t="s">
        <v>92</v>
      </c>
      <c r="B40" s="10">
        <v>42360</v>
      </c>
      <c r="C40" s="10">
        <v>32891</v>
      </c>
      <c r="D40" s="10">
        <v>24542</v>
      </c>
      <c r="H40" s="43">
        <f t="shared" si="0"/>
        <v>0.28789030433857288</v>
      </c>
      <c r="I40" s="43">
        <f t="shared" si="1"/>
        <v>0.34019232336402899</v>
      </c>
    </row>
    <row r="41" spans="1:9" ht="15" customHeight="1">
      <c r="A41" s="11" t="s">
        <v>88</v>
      </c>
      <c r="B41" s="12">
        <f>SUM(B36:B40)</f>
        <v>146791</v>
      </c>
      <c r="C41" s="12">
        <f>SUM(C36:C40)</f>
        <v>161580</v>
      </c>
      <c r="D41" s="12">
        <f t="shared" ref="D41" si="6">SUM(D36:D40)</f>
        <v>132733</v>
      </c>
      <c r="H41" s="44">
        <f t="shared" si="0"/>
        <v>-9.1527416759499935E-2</v>
      </c>
      <c r="I41" s="44">
        <f t="shared" si="1"/>
        <v>0.21733103297597434</v>
      </c>
    </row>
    <row r="42" spans="1:9" ht="15" customHeight="1">
      <c r="A42" t="s">
        <v>89</v>
      </c>
      <c r="B42" s="10"/>
      <c r="C42" s="10"/>
      <c r="D42" s="10"/>
      <c r="H42" s="43" t="str">
        <f t="shared" si="0"/>
        <v/>
      </c>
      <c r="I42" s="43" t="str">
        <f t="shared" si="1"/>
        <v/>
      </c>
    </row>
    <row r="43" spans="1:9" ht="15" customHeight="1">
      <c r="A43" s="1" t="s">
        <v>93</v>
      </c>
      <c r="B43" s="10">
        <v>186715</v>
      </c>
      <c r="C43" s="10">
        <v>160281</v>
      </c>
      <c r="D43" s="10">
        <v>113114</v>
      </c>
      <c r="H43" s="43">
        <f t="shared" si="0"/>
        <v>0.16492285423724584</v>
      </c>
      <c r="I43" s="43">
        <f t="shared" si="1"/>
        <v>0.41698640309775981</v>
      </c>
    </row>
    <row r="44" spans="1:9" ht="15" customHeight="1">
      <c r="A44" s="1" t="s">
        <v>94</v>
      </c>
      <c r="B44" s="10">
        <v>66123</v>
      </c>
      <c r="C44" s="10">
        <v>56082</v>
      </c>
      <c r="D44" s="10">
        <v>37553</v>
      </c>
      <c r="H44" s="43">
        <f t="shared" si="0"/>
        <v>0.17904140365892801</v>
      </c>
      <c r="I44" s="43">
        <f t="shared" si="1"/>
        <v>0.49340931483503314</v>
      </c>
    </row>
    <row r="45" spans="1:9" ht="15" customHeight="1">
      <c r="A45" s="1" t="s">
        <v>95</v>
      </c>
      <c r="B45" s="10">
        <v>20288</v>
      </c>
      <c r="C45" s="10">
        <v>15371</v>
      </c>
      <c r="D45" s="10">
        <v>15017</v>
      </c>
      <c r="H45" s="43">
        <f t="shared" si="0"/>
        <v>0.31988810096935788</v>
      </c>
      <c r="I45" s="43">
        <f t="shared" si="1"/>
        <v>2.3573283611906505E-2</v>
      </c>
    </row>
    <row r="46" spans="1:9" ht="15" customHeight="1">
      <c r="A46" s="1" t="s">
        <v>96</v>
      </c>
      <c r="B46" s="10">
        <v>42758</v>
      </c>
      <c r="C46" s="10">
        <v>27235</v>
      </c>
      <c r="D46" s="10">
        <v>22778</v>
      </c>
      <c r="H46" s="43">
        <f t="shared" si="0"/>
        <v>0.56996511841380582</v>
      </c>
      <c r="I46" s="43">
        <f t="shared" si="1"/>
        <v>0.19567126174378788</v>
      </c>
    </row>
    <row r="47" spans="1:9" ht="15" customHeight="1">
      <c r="A47" s="11" t="s">
        <v>90</v>
      </c>
      <c r="B47" s="12">
        <f>SUM(B43:B46)</f>
        <v>315884</v>
      </c>
      <c r="C47" s="12">
        <f t="shared" ref="C47:D47" si="7">SUM(C43:C46)</f>
        <v>258969</v>
      </c>
      <c r="D47" s="12">
        <f t="shared" si="7"/>
        <v>188462</v>
      </c>
      <c r="H47" s="44">
        <f t="shared" si="0"/>
        <v>0.21977533990554854</v>
      </c>
      <c r="I47" s="44">
        <f t="shared" si="1"/>
        <v>0.37411785930320168</v>
      </c>
    </row>
    <row r="48" spans="1:9" ht="15" customHeight="1" thickBot="1">
      <c r="A48" s="13" t="s">
        <v>91</v>
      </c>
      <c r="B48" s="14">
        <f>B41+B47</f>
        <v>462675</v>
      </c>
      <c r="C48" s="14">
        <f t="shared" ref="C48:D48" si="8">C41+C47</f>
        <v>420549</v>
      </c>
      <c r="D48" s="14">
        <f t="shared" si="8"/>
        <v>321195</v>
      </c>
      <c r="H48" s="49">
        <f t="shared" si="0"/>
        <v>0.10016906472254125</v>
      </c>
      <c r="I48" s="49">
        <f t="shared" si="1"/>
        <v>0.30932611030682294</v>
      </c>
    </row>
    <row r="49" spans="1:9" ht="15" customHeight="1" thickTop="1">
      <c r="H49" s="43" t="str">
        <f t="shared" si="0"/>
        <v/>
      </c>
      <c r="I49" s="43" t="str">
        <f t="shared" si="1"/>
        <v/>
      </c>
    </row>
    <row r="50" spans="1:9" ht="15" customHeight="1">
      <c r="A50" t="s">
        <v>101</v>
      </c>
      <c r="H50" s="43" t="str">
        <f t="shared" si="0"/>
        <v/>
      </c>
      <c r="I50" s="43" t="str">
        <f t="shared" si="1"/>
        <v/>
      </c>
    </row>
    <row r="51" spans="1:9" ht="15" customHeight="1">
      <c r="A51" s="1" t="s">
        <v>102</v>
      </c>
      <c r="B51" s="10">
        <v>79600</v>
      </c>
      <c r="C51" s="10">
        <v>78664</v>
      </c>
      <c r="D51" s="10">
        <v>72539</v>
      </c>
      <c r="H51" s="43">
        <f t="shared" si="0"/>
        <v>1.1898708430794264E-2</v>
      </c>
      <c r="I51" s="43">
        <f t="shared" si="1"/>
        <v>8.4437337156564055E-2</v>
      </c>
    </row>
    <row r="52" spans="1:9" ht="15" customHeight="1">
      <c r="A52" s="1" t="s">
        <v>113</v>
      </c>
      <c r="B52" s="10">
        <v>62566</v>
      </c>
      <c r="C52" s="10">
        <v>51775</v>
      </c>
      <c r="D52" s="10">
        <v>44138</v>
      </c>
      <c r="H52" s="43">
        <f t="shared" si="0"/>
        <v>0.20842105263157895</v>
      </c>
      <c r="I52" s="43">
        <f t="shared" si="1"/>
        <v>0.17302551089763923</v>
      </c>
    </row>
    <row r="53" spans="1:9" ht="15" customHeight="1">
      <c r="A53" s="1" t="s">
        <v>114</v>
      </c>
      <c r="B53" s="10">
        <v>13227</v>
      </c>
      <c r="C53" s="10">
        <v>11827</v>
      </c>
      <c r="D53" s="10">
        <v>9708</v>
      </c>
      <c r="H53" s="43">
        <f t="shared" si="0"/>
        <v>0.11837321383275556</v>
      </c>
      <c r="I53" s="43">
        <f t="shared" si="1"/>
        <v>0.21827358879274825</v>
      </c>
    </row>
    <row r="54" spans="1:9" ht="15" customHeight="1">
      <c r="A54" s="11" t="s">
        <v>103</v>
      </c>
      <c r="B54" s="12">
        <f>SUM(B51:B53)</f>
        <v>155393</v>
      </c>
      <c r="C54" s="12">
        <f t="shared" ref="C54:D54" si="9">SUM(C51:C53)</f>
        <v>142266</v>
      </c>
      <c r="D54" s="12">
        <f t="shared" si="9"/>
        <v>126385</v>
      </c>
      <c r="H54" s="44">
        <f t="shared" si="0"/>
        <v>9.2270816639253225E-2</v>
      </c>
      <c r="I54" s="44">
        <f t="shared" si="1"/>
        <v>0.12565573446215927</v>
      </c>
    </row>
    <row r="55" spans="1:9" ht="15" customHeight="1">
      <c r="A55" t="s">
        <v>104</v>
      </c>
      <c r="H55" s="43" t="str">
        <f t="shared" si="0"/>
        <v/>
      </c>
      <c r="I55" s="43" t="str">
        <f t="shared" si="1"/>
        <v/>
      </c>
    </row>
    <row r="56" spans="1:9" ht="15" customHeight="1">
      <c r="A56" s="1" t="s">
        <v>115</v>
      </c>
      <c r="B56" s="10">
        <v>72968</v>
      </c>
      <c r="C56" s="10">
        <v>67651</v>
      </c>
      <c r="D56" s="10">
        <v>52573</v>
      </c>
      <c r="H56" s="43">
        <f t="shared" si="0"/>
        <v>7.8594551447872169E-2</v>
      </c>
      <c r="I56" s="43">
        <f t="shared" si="1"/>
        <v>0.28680120974644779</v>
      </c>
    </row>
    <row r="57" spans="1:9" ht="15" customHeight="1">
      <c r="A57" s="1" t="s">
        <v>116</v>
      </c>
      <c r="B57" s="10">
        <v>67150</v>
      </c>
      <c r="C57" s="10">
        <v>48744</v>
      </c>
      <c r="D57" s="10">
        <v>31816</v>
      </c>
      <c r="H57" s="43">
        <f t="shared" si="0"/>
        <v>0.37760544887575909</v>
      </c>
      <c r="I57" s="43">
        <f t="shared" si="1"/>
        <v>0.53205934121196885</v>
      </c>
    </row>
    <row r="58" spans="1:9" ht="15" customHeight="1">
      <c r="A58" s="1" t="s">
        <v>117</v>
      </c>
      <c r="B58" s="10">
        <v>21121</v>
      </c>
      <c r="C58" s="10">
        <v>23643</v>
      </c>
      <c r="D58" s="10">
        <v>17017</v>
      </c>
      <c r="H58" s="43">
        <f t="shared" si="0"/>
        <v>-0.10667005033202216</v>
      </c>
      <c r="I58" s="43">
        <f t="shared" si="1"/>
        <v>0.38937533055180112</v>
      </c>
    </row>
    <row r="59" spans="1:9" ht="15" customHeight="1">
      <c r="A59" s="11" t="s">
        <v>105</v>
      </c>
      <c r="B59" s="12">
        <f>SUM(B56:B58)</f>
        <v>161239</v>
      </c>
      <c r="C59" s="12">
        <f t="shared" ref="C59" si="10">SUM(C56:C58)</f>
        <v>140038</v>
      </c>
      <c r="D59" s="12">
        <f t="shared" ref="D59" si="11">SUM(D56:D58)</f>
        <v>101406</v>
      </c>
      <c r="H59" s="44">
        <f t="shared" si="0"/>
        <v>0.15139462145988947</v>
      </c>
      <c r="I59" s="44">
        <f t="shared" si="1"/>
        <v>0.38096365106601188</v>
      </c>
    </row>
    <row r="60" spans="1:9" ht="15" customHeight="1">
      <c r="A60" s="1"/>
      <c r="B60" s="10"/>
      <c r="C60" s="10"/>
      <c r="D60" s="10"/>
      <c r="H60" s="43" t="str">
        <f t="shared" si="0"/>
        <v/>
      </c>
      <c r="I60" s="43" t="str">
        <f t="shared" si="1"/>
        <v/>
      </c>
    </row>
    <row r="61" spans="1:9" ht="15" customHeight="1">
      <c r="A61" s="35" t="s">
        <v>118</v>
      </c>
      <c r="B61" s="26"/>
      <c r="C61" s="26"/>
      <c r="D61" s="10"/>
      <c r="H61" s="43" t="str">
        <f t="shared" si="0"/>
        <v/>
      </c>
      <c r="I61" s="43" t="str">
        <f t="shared" si="1"/>
        <v/>
      </c>
    </row>
    <row r="62" spans="1:9" ht="15" customHeight="1">
      <c r="A62" s="36" t="s">
        <v>119</v>
      </c>
      <c r="B62" s="33" t="s">
        <v>100</v>
      </c>
      <c r="C62" s="33" t="s">
        <v>100</v>
      </c>
      <c r="D62" s="33" t="s">
        <v>100</v>
      </c>
      <c r="H62" s="50"/>
      <c r="I62" s="50"/>
    </row>
    <row r="63" spans="1:9" ht="15" customHeight="1">
      <c r="A63" s="36" t="s">
        <v>120</v>
      </c>
      <c r="B63" s="10">
        <v>108</v>
      </c>
      <c r="C63" s="10">
        <v>106</v>
      </c>
      <c r="D63" s="10">
        <v>5</v>
      </c>
      <c r="H63" s="43">
        <f t="shared" si="0"/>
        <v>1.8867924528301886E-2</v>
      </c>
      <c r="I63" s="43">
        <f t="shared" si="1"/>
        <v>20.2</v>
      </c>
    </row>
    <row r="64" spans="1:9" ht="15" customHeight="1">
      <c r="A64" s="36" t="s">
        <v>121</v>
      </c>
      <c r="B64" s="10">
        <v>-7837</v>
      </c>
      <c r="C64" s="10">
        <v>-1837</v>
      </c>
      <c r="D64" s="10">
        <v>-1837</v>
      </c>
      <c r="H64" s="43">
        <f t="shared" si="0"/>
        <v>3.2661948829613499</v>
      </c>
      <c r="I64" s="43">
        <f t="shared" si="1"/>
        <v>0</v>
      </c>
    </row>
    <row r="65" spans="1:9" ht="15" customHeight="1">
      <c r="A65" s="36" t="s">
        <v>122</v>
      </c>
      <c r="B65" s="10">
        <v>75066</v>
      </c>
      <c r="C65" s="10">
        <v>55437</v>
      </c>
      <c r="D65" s="10">
        <v>42865</v>
      </c>
      <c r="H65" s="43">
        <f t="shared" si="0"/>
        <v>0.35407760160181828</v>
      </c>
      <c r="I65" s="43">
        <f t="shared" si="1"/>
        <v>0.29329289630234456</v>
      </c>
    </row>
    <row r="66" spans="1:9" ht="15" customHeight="1">
      <c r="A66" s="36" t="s">
        <v>123</v>
      </c>
      <c r="B66" s="10">
        <v>-4487</v>
      </c>
      <c r="C66" s="10">
        <v>-1376</v>
      </c>
      <c r="D66" s="10">
        <v>-180</v>
      </c>
      <c r="H66" s="43">
        <f t="shared" si="0"/>
        <v>2.2609011627906979</v>
      </c>
      <c r="I66" s="43">
        <f t="shared" si="1"/>
        <v>6.6444444444444448</v>
      </c>
    </row>
    <row r="67" spans="1:9" ht="15" customHeight="1">
      <c r="A67" s="36" t="s">
        <v>124</v>
      </c>
      <c r="B67" s="10">
        <v>83193</v>
      </c>
      <c r="C67" s="10">
        <v>85915</v>
      </c>
      <c r="D67" s="10">
        <v>52551</v>
      </c>
      <c r="H67" s="43">
        <f t="shared" si="0"/>
        <v>-3.1682476866670549E-2</v>
      </c>
      <c r="I67" s="43">
        <f t="shared" si="1"/>
        <v>0.63488801354874314</v>
      </c>
    </row>
    <row r="68" spans="1:9" ht="15" customHeight="1">
      <c r="A68" s="37" t="s">
        <v>125</v>
      </c>
      <c r="B68" s="12">
        <f>SUM(B62:B67)</f>
        <v>146043</v>
      </c>
      <c r="C68" s="12">
        <f>SUM(C62:C67)</f>
        <v>138245</v>
      </c>
      <c r="D68" s="12">
        <f>SUM(D62:D67)</f>
        <v>93404</v>
      </c>
      <c r="H68" s="44">
        <f t="shared" si="0"/>
        <v>5.6407103331042714E-2</v>
      </c>
      <c r="I68" s="44">
        <f t="shared" si="1"/>
        <v>0.48007579975161663</v>
      </c>
    </row>
    <row r="69" spans="1:9" ht="15" customHeight="1" thickBot="1">
      <c r="A69" s="38" t="s">
        <v>126</v>
      </c>
      <c r="B69" s="14">
        <f>B54+B59+B68</f>
        <v>462675</v>
      </c>
      <c r="C69" s="14">
        <f>C54+C59+C68</f>
        <v>420549</v>
      </c>
      <c r="D69" s="14">
        <f>D54+D59+D68</f>
        <v>321195</v>
      </c>
      <c r="F69" s="34"/>
      <c r="G69" s="34"/>
      <c r="H69" s="49">
        <f t="shared" si="0"/>
        <v>0.10016906472254125</v>
      </c>
      <c r="I69" s="49">
        <f t="shared" si="1"/>
        <v>0.30932611030682294</v>
      </c>
    </row>
    <row r="70" spans="1:9" ht="15" customHeight="1" thickTop="1">
      <c r="H70" s="43" t="str">
        <f t="shared" si="0"/>
        <v/>
      </c>
      <c r="I70" s="43" t="str">
        <f t="shared" si="1"/>
        <v/>
      </c>
    </row>
    <row r="71" spans="1:9" ht="15" customHeight="1">
      <c r="A71" s="65" t="s">
        <v>12</v>
      </c>
      <c r="B71" s="65"/>
      <c r="C71" s="65"/>
      <c r="D71" s="65"/>
      <c r="H71" s="43" t="str">
        <f t="shared" ref="H71:H108" si="12">IF(B71="","",(B71-C71)/C71)</f>
        <v/>
      </c>
      <c r="I71" s="43" t="str">
        <f t="shared" ref="I71:I108" si="13">IF(C71="","",(C71-D71)/D71)</f>
        <v/>
      </c>
    </row>
    <row r="72" spans="1:9" ht="15" customHeight="1">
      <c r="B72" s="64" t="s">
        <v>55</v>
      </c>
      <c r="C72" s="64"/>
      <c r="D72" s="64"/>
      <c r="H72" s="43"/>
      <c r="I72" s="43"/>
    </row>
    <row r="73" spans="1:9" ht="15" customHeight="1">
      <c r="B73" s="9">
        <v>2022</v>
      </c>
      <c r="C73" s="9">
        <v>2021</v>
      </c>
      <c r="D73" s="9">
        <v>2020</v>
      </c>
      <c r="H73" s="43"/>
      <c r="I73" s="43"/>
    </row>
    <row r="74" spans="1:9" ht="15" customHeight="1">
      <c r="H74" s="43" t="str">
        <f t="shared" si="12"/>
        <v/>
      </c>
      <c r="I74" s="43" t="str">
        <f t="shared" si="13"/>
        <v/>
      </c>
    </row>
    <row r="75" spans="1:9" ht="15" customHeight="1">
      <c r="A75" s="9" t="s">
        <v>128</v>
      </c>
      <c r="B75" s="10">
        <v>36477</v>
      </c>
      <c r="C75" s="10">
        <v>42377</v>
      </c>
      <c r="D75" s="10">
        <v>36410</v>
      </c>
      <c r="E75" s="10"/>
      <c r="H75" s="43">
        <f t="shared" si="12"/>
        <v>-0.13922646718738937</v>
      </c>
      <c r="I75" s="43">
        <f t="shared" si="13"/>
        <v>0.1638835484756935</v>
      </c>
    </row>
    <row r="76" spans="1:9" ht="15" customHeight="1">
      <c r="A76" t="s">
        <v>106</v>
      </c>
      <c r="B76" s="10"/>
      <c r="C76" s="10"/>
      <c r="D76" s="10"/>
      <c r="H76" s="43" t="str">
        <f t="shared" si="12"/>
        <v/>
      </c>
      <c r="I76" s="43" t="str">
        <f t="shared" si="13"/>
        <v/>
      </c>
    </row>
    <row r="77" spans="1:9" ht="15" customHeight="1">
      <c r="A77" s="18" t="s">
        <v>79</v>
      </c>
      <c r="B77" s="10">
        <v>-2722</v>
      </c>
      <c r="C77" s="10">
        <v>33364</v>
      </c>
      <c r="D77" s="10">
        <v>21331</v>
      </c>
      <c r="H77" s="43">
        <f t="shared" si="12"/>
        <v>-1.0815849418534949</v>
      </c>
      <c r="I77" s="43">
        <f t="shared" si="13"/>
        <v>0.56410857437532225</v>
      </c>
    </row>
    <row r="78" spans="1:9" ht="15" customHeight="1">
      <c r="A78" s="39" t="s">
        <v>129</v>
      </c>
      <c r="B78" s="10"/>
      <c r="C78" s="10"/>
      <c r="D78" s="10"/>
      <c r="H78" s="43" t="str">
        <f t="shared" si="12"/>
        <v/>
      </c>
      <c r="I78" s="43" t="str">
        <f t="shared" si="13"/>
        <v/>
      </c>
    </row>
    <row r="79" spans="1:9" ht="15" customHeight="1">
      <c r="A79" s="40" t="s">
        <v>107</v>
      </c>
      <c r="B79" s="10">
        <v>41921</v>
      </c>
      <c r="C79" s="10">
        <v>34433</v>
      </c>
      <c r="D79" s="10">
        <v>25180</v>
      </c>
      <c r="H79" s="43">
        <f t="shared" si="12"/>
        <v>0.21746580315395114</v>
      </c>
      <c r="I79" s="43">
        <f t="shared" si="13"/>
        <v>0.36747418586179509</v>
      </c>
    </row>
    <row r="80" spans="1:9" ht="15" customHeight="1">
      <c r="A80" s="40" t="s">
        <v>130</v>
      </c>
      <c r="B80" s="10">
        <v>19621</v>
      </c>
      <c r="C80" s="10">
        <v>12757</v>
      </c>
      <c r="D80" s="10">
        <v>9208</v>
      </c>
      <c r="H80" s="43">
        <f t="shared" si="12"/>
        <v>0.53805753703848869</v>
      </c>
      <c r="I80" s="43">
        <f t="shared" si="13"/>
        <v>0.38542571676802778</v>
      </c>
    </row>
    <row r="81" spans="1:9" ht="15" customHeight="1">
      <c r="A81" s="40" t="s">
        <v>131</v>
      </c>
      <c r="B81" s="10">
        <v>16966</v>
      </c>
      <c r="C81" s="10">
        <v>-14306</v>
      </c>
      <c r="D81" s="10">
        <v>-2582</v>
      </c>
      <c r="H81" s="43">
        <f t="shared" si="12"/>
        <v>-2.1859359709212915</v>
      </c>
      <c r="I81" s="43">
        <f t="shared" si="13"/>
        <v>4.5406661502711074</v>
      </c>
    </row>
    <row r="82" spans="1:9" ht="15" customHeight="1">
      <c r="A82" s="40" t="s">
        <v>132</v>
      </c>
      <c r="B82" s="10">
        <v>-8148</v>
      </c>
      <c r="C82" s="10">
        <v>-310</v>
      </c>
      <c r="D82" s="10">
        <v>-554</v>
      </c>
      <c r="H82" s="43">
        <f t="shared" si="12"/>
        <v>25.283870967741937</v>
      </c>
      <c r="I82" s="43">
        <f t="shared" si="13"/>
        <v>-0.44043321299638988</v>
      </c>
    </row>
    <row r="83" spans="1:9" ht="15" customHeight="1">
      <c r="A83" s="39" t="s">
        <v>108</v>
      </c>
      <c r="B83" s="10"/>
      <c r="C83" s="10"/>
      <c r="D83" s="10"/>
      <c r="H83" s="43" t="str">
        <f t="shared" si="12"/>
        <v/>
      </c>
      <c r="I83" s="43" t="str">
        <f t="shared" si="13"/>
        <v/>
      </c>
    </row>
    <row r="84" spans="1:9" ht="15" customHeight="1">
      <c r="A84" s="40" t="s">
        <v>87</v>
      </c>
      <c r="B84" s="10">
        <v>-2592</v>
      </c>
      <c r="C84" s="10">
        <v>-9487</v>
      </c>
      <c r="D84" s="10">
        <v>-2849</v>
      </c>
      <c r="H84" s="43">
        <f t="shared" si="12"/>
        <v>-0.72678402023822075</v>
      </c>
      <c r="I84" s="43">
        <f t="shared" si="13"/>
        <v>2.3299403299403298</v>
      </c>
    </row>
    <row r="85" spans="1:9" ht="15" customHeight="1">
      <c r="A85" s="40" t="s">
        <v>92</v>
      </c>
      <c r="B85" s="10">
        <v>-21897</v>
      </c>
      <c r="C85" s="10">
        <v>-18163</v>
      </c>
      <c r="D85" s="10">
        <v>-8169</v>
      </c>
      <c r="H85" s="43">
        <f t="shared" si="12"/>
        <v>0.20558277817541154</v>
      </c>
      <c r="I85" s="43">
        <f t="shared" si="13"/>
        <v>1.223405557595789</v>
      </c>
    </row>
    <row r="86" spans="1:9" ht="15" customHeight="1">
      <c r="A86" s="40" t="s">
        <v>102</v>
      </c>
      <c r="B86" s="10">
        <v>2945</v>
      </c>
      <c r="C86" s="10">
        <v>3602</v>
      </c>
      <c r="D86" s="10">
        <v>17480</v>
      </c>
      <c r="H86" s="43">
        <f t="shared" si="12"/>
        <v>-0.18239866740699612</v>
      </c>
      <c r="I86" s="43">
        <f t="shared" si="13"/>
        <v>-0.79393592677345537</v>
      </c>
    </row>
    <row r="87" spans="1:9" ht="15" customHeight="1">
      <c r="A87" s="40" t="s">
        <v>133</v>
      </c>
      <c r="B87" s="10">
        <v>-1558</v>
      </c>
      <c r="C87" s="10">
        <v>2123</v>
      </c>
      <c r="D87" s="10">
        <v>5754</v>
      </c>
      <c r="H87" s="43">
        <f t="shared" si="12"/>
        <v>-1.7338671691003298</v>
      </c>
      <c r="I87" s="43">
        <f t="shared" si="13"/>
        <v>-0.63103927702467844</v>
      </c>
    </row>
    <row r="88" spans="1:9" ht="15" customHeight="1">
      <c r="A88" s="41" t="s">
        <v>114</v>
      </c>
      <c r="B88" s="30">
        <v>2216</v>
      </c>
      <c r="C88" s="30">
        <v>2314</v>
      </c>
      <c r="D88" s="30">
        <v>1265</v>
      </c>
      <c r="H88" s="46">
        <f t="shared" si="12"/>
        <v>-4.2350907519446847E-2</v>
      </c>
      <c r="I88" s="46">
        <f t="shared" si="13"/>
        <v>0.8292490118577075</v>
      </c>
    </row>
    <row r="89" spans="1:9" ht="15" customHeight="1">
      <c r="A89" s="24" t="s">
        <v>134</v>
      </c>
      <c r="B89" s="17">
        <f>SUM(B77:B88)</f>
        <v>46752</v>
      </c>
      <c r="C89" s="17">
        <f t="shared" ref="C89:D89" si="14">SUM(C77:C88)</f>
        <v>46327</v>
      </c>
      <c r="D89" s="17">
        <f t="shared" si="14"/>
        <v>66064</v>
      </c>
      <c r="H89" s="51">
        <f t="shared" si="12"/>
        <v>9.1739158590023098E-3</v>
      </c>
      <c r="I89" s="51">
        <f t="shared" si="13"/>
        <v>-0.29875575199806248</v>
      </c>
    </row>
    <row r="90" spans="1:9" ht="15" customHeight="1">
      <c r="A90" s="24" t="s">
        <v>109</v>
      </c>
      <c r="B90" s="28"/>
      <c r="C90" s="28"/>
      <c r="D90" s="28"/>
      <c r="H90" s="45" t="str">
        <f t="shared" si="12"/>
        <v/>
      </c>
      <c r="I90" s="45" t="str">
        <f t="shared" si="13"/>
        <v/>
      </c>
    </row>
    <row r="91" spans="1:9" ht="15" customHeight="1">
      <c r="A91" s="40" t="s">
        <v>135</v>
      </c>
      <c r="B91" s="10">
        <v>-63645</v>
      </c>
      <c r="C91" s="10">
        <v>-61053</v>
      </c>
      <c r="D91" s="10">
        <v>-40140</v>
      </c>
      <c r="H91" s="43">
        <f t="shared" si="12"/>
        <v>4.245491622033315E-2</v>
      </c>
      <c r="I91" s="43">
        <f t="shared" si="13"/>
        <v>0.52100149476831092</v>
      </c>
    </row>
    <row r="92" spans="1:9" ht="15" customHeight="1">
      <c r="A92" s="40" t="s">
        <v>136</v>
      </c>
      <c r="B92" s="10">
        <v>5324</v>
      </c>
      <c r="C92" s="10">
        <v>5657</v>
      </c>
      <c r="D92" s="10">
        <v>5096</v>
      </c>
      <c r="H92" s="43">
        <f t="shared" si="12"/>
        <v>-5.8865122856637794E-2</v>
      </c>
      <c r="I92" s="43">
        <f t="shared" si="13"/>
        <v>0.11008634222919937</v>
      </c>
    </row>
    <row r="93" spans="1:9" ht="15" customHeight="1">
      <c r="A93" s="40" t="s">
        <v>137</v>
      </c>
      <c r="B93" s="10">
        <v>-8316</v>
      </c>
      <c r="C93" s="10">
        <v>-1985</v>
      </c>
      <c r="D93" s="10">
        <v>-2325</v>
      </c>
      <c r="H93" s="43">
        <f t="shared" si="12"/>
        <v>3.1894206549118387</v>
      </c>
      <c r="I93" s="43">
        <f t="shared" si="13"/>
        <v>-0.14623655913978495</v>
      </c>
    </row>
    <row r="94" spans="1:9" ht="15" customHeight="1">
      <c r="A94" s="40" t="s">
        <v>138</v>
      </c>
      <c r="B94" s="10">
        <v>31601</v>
      </c>
      <c r="C94" s="10">
        <v>59384</v>
      </c>
      <c r="D94" s="10">
        <v>50237</v>
      </c>
      <c r="H94" s="43">
        <f t="shared" si="12"/>
        <v>-0.46785329381651625</v>
      </c>
      <c r="I94" s="43">
        <f t="shared" si="13"/>
        <v>0.18207695523219938</v>
      </c>
    </row>
    <row r="95" spans="1:9" ht="15" customHeight="1">
      <c r="A95" s="41" t="s">
        <v>110</v>
      </c>
      <c r="B95" s="30">
        <v>-2565</v>
      </c>
      <c r="C95" s="30">
        <v>-60157</v>
      </c>
      <c r="D95" s="30">
        <v>-72479</v>
      </c>
      <c r="H95" s="46">
        <f t="shared" si="12"/>
        <v>-0.95736157055704241</v>
      </c>
      <c r="I95" s="46">
        <f t="shared" si="13"/>
        <v>-0.17000786434691428</v>
      </c>
    </row>
    <row r="96" spans="1:9" ht="15" customHeight="1">
      <c r="A96" s="24" t="s">
        <v>146</v>
      </c>
      <c r="B96" s="17">
        <f>SUM(B91:B95)</f>
        <v>-37601</v>
      </c>
      <c r="C96" s="17">
        <f t="shared" ref="C96:D96" si="15">SUM(C91:C95)</f>
        <v>-58154</v>
      </c>
      <c r="D96" s="17">
        <f t="shared" si="15"/>
        <v>-59611</v>
      </c>
      <c r="H96" s="51">
        <f t="shared" si="12"/>
        <v>-0.35342366819135401</v>
      </c>
      <c r="I96" s="51">
        <f t="shared" si="13"/>
        <v>-2.4441797654795257E-2</v>
      </c>
    </row>
    <row r="97" spans="1:9" ht="15" customHeight="1">
      <c r="A97" s="9" t="s">
        <v>111</v>
      </c>
      <c r="B97" s="10"/>
      <c r="C97" s="10"/>
      <c r="D97" s="10"/>
      <c r="H97" s="43" t="str">
        <f t="shared" si="12"/>
        <v/>
      </c>
      <c r="I97" s="43" t="str">
        <f t="shared" si="13"/>
        <v/>
      </c>
    </row>
    <row r="98" spans="1:9" ht="15" customHeight="1">
      <c r="A98" s="42" t="s">
        <v>139</v>
      </c>
      <c r="B98" s="10">
        <v>-6000</v>
      </c>
      <c r="C98" s="33" t="s">
        <v>127</v>
      </c>
      <c r="D98" s="33" t="s">
        <v>127</v>
      </c>
      <c r="H98" s="50"/>
      <c r="I98" s="50"/>
    </row>
    <row r="99" spans="1:9" ht="15" customHeight="1">
      <c r="A99" s="42" t="s">
        <v>140</v>
      </c>
      <c r="B99" s="10">
        <v>41553</v>
      </c>
      <c r="C99" s="10">
        <v>7956</v>
      </c>
      <c r="D99" s="10">
        <v>6796</v>
      </c>
      <c r="H99" s="43">
        <f t="shared" si="12"/>
        <v>4.2228506787330318</v>
      </c>
      <c r="I99" s="43">
        <f t="shared" si="13"/>
        <v>0.17068864037669218</v>
      </c>
    </row>
    <row r="100" spans="1:9" ht="15" customHeight="1">
      <c r="A100" s="42" t="s">
        <v>141</v>
      </c>
      <c r="B100" s="10">
        <v>-37554</v>
      </c>
      <c r="C100" s="10">
        <v>-7753</v>
      </c>
      <c r="D100" s="10">
        <v>-6177</v>
      </c>
      <c r="H100" s="43">
        <f t="shared" si="12"/>
        <v>3.8438023990713273</v>
      </c>
      <c r="I100" s="43">
        <f t="shared" si="13"/>
        <v>0.2551400356159948</v>
      </c>
    </row>
    <row r="101" spans="1:9" ht="15" customHeight="1">
      <c r="A101" s="42" t="s">
        <v>142</v>
      </c>
      <c r="B101" s="10">
        <v>21166</v>
      </c>
      <c r="C101" s="10">
        <v>19003</v>
      </c>
      <c r="D101" s="10">
        <v>10525</v>
      </c>
      <c r="H101" s="43">
        <f t="shared" si="12"/>
        <v>0.11382413303162658</v>
      </c>
      <c r="I101" s="43">
        <f t="shared" si="13"/>
        <v>0.80551068883610455</v>
      </c>
    </row>
    <row r="102" spans="1:9" ht="15" customHeight="1">
      <c r="A102" s="42" t="s">
        <v>143</v>
      </c>
      <c r="B102" s="10">
        <v>-1258</v>
      </c>
      <c r="C102" s="10">
        <v>-1590</v>
      </c>
      <c r="D102" s="10">
        <v>-1553</v>
      </c>
      <c r="H102" s="43">
        <f t="shared" si="12"/>
        <v>-0.20880503144654089</v>
      </c>
      <c r="I102" s="43">
        <f t="shared" si="13"/>
        <v>2.3824855119124275E-2</v>
      </c>
    </row>
    <row r="103" spans="1:9" ht="15" customHeight="1">
      <c r="A103" s="42" t="s">
        <v>144</v>
      </c>
      <c r="B103" s="10">
        <v>-7941</v>
      </c>
      <c r="C103" s="10">
        <v>-11163</v>
      </c>
      <c r="D103" s="10">
        <v>-10642</v>
      </c>
      <c r="H103" s="43">
        <f t="shared" si="12"/>
        <v>-0.28863208814834723</v>
      </c>
      <c r="I103" s="43">
        <f t="shared" si="13"/>
        <v>4.8956962976884046E-2</v>
      </c>
    </row>
    <row r="104" spans="1:9" ht="15" customHeight="1">
      <c r="A104" s="41" t="s">
        <v>145</v>
      </c>
      <c r="B104" s="30">
        <v>-248</v>
      </c>
      <c r="C104" s="30">
        <v>-162</v>
      </c>
      <c r="D104" s="30">
        <v>-53</v>
      </c>
      <c r="H104" s="46">
        <f t="shared" si="12"/>
        <v>0.53086419753086422</v>
      </c>
      <c r="I104" s="46">
        <f t="shared" si="13"/>
        <v>2.0566037735849059</v>
      </c>
    </row>
    <row r="105" spans="1:9" ht="15" customHeight="1">
      <c r="A105" s="24" t="s">
        <v>147</v>
      </c>
      <c r="B105" s="17">
        <f>SUM(B98:B104)</f>
        <v>9718</v>
      </c>
      <c r="C105" s="17">
        <f t="shared" ref="C105:D105" si="16">SUM(C98:C104)</f>
        <v>6291</v>
      </c>
      <c r="D105" s="17">
        <f t="shared" si="16"/>
        <v>-1104</v>
      </c>
      <c r="H105" s="51">
        <f t="shared" si="12"/>
        <v>0.54474646320139886</v>
      </c>
      <c r="I105" s="51">
        <f t="shared" si="13"/>
        <v>-6.6983695652173916</v>
      </c>
    </row>
    <row r="106" spans="1:9" ht="15" customHeight="1">
      <c r="A106" s="11" t="s">
        <v>148</v>
      </c>
      <c r="B106" s="12">
        <v>-1093</v>
      </c>
      <c r="C106" s="12">
        <v>-364</v>
      </c>
      <c r="D106" s="12">
        <v>618</v>
      </c>
      <c r="H106" s="44">
        <f t="shared" si="12"/>
        <v>2.0027472527472527</v>
      </c>
      <c r="I106" s="44">
        <f t="shared" si="13"/>
        <v>-1.5889967637540454</v>
      </c>
    </row>
    <row r="107" spans="1:9" ht="15" customHeight="1">
      <c r="A107" s="11" t="s">
        <v>149</v>
      </c>
      <c r="B107" s="12">
        <v>17776</v>
      </c>
      <c r="C107" s="12">
        <v>-5900</v>
      </c>
      <c r="D107" s="12">
        <v>5967</v>
      </c>
      <c r="H107" s="44">
        <f t="shared" si="12"/>
        <v>-4.012881355932203</v>
      </c>
      <c r="I107" s="44">
        <f t="shared" si="13"/>
        <v>-1.988771577006871</v>
      </c>
    </row>
    <row r="108" spans="1:9" ht="15" customHeight="1" thickBot="1">
      <c r="A108" s="13" t="s">
        <v>112</v>
      </c>
      <c r="B108" s="14">
        <v>54253</v>
      </c>
      <c r="C108" s="14">
        <v>36477</v>
      </c>
      <c r="D108" s="14">
        <v>42377</v>
      </c>
      <c r="H108" s="49">
        <f t="shared" si="12"/>
        <v>0.48732077747621788</v>
      </c>
      <c r="I108" s="49">
        <f t="shared" si="13"/>
        <v>-0.13922646718738937</v>
      </c>
    </row>
    <row r="109" spans="1:9" ht="15" customHeight="1" thickTop="1">
      <c r="A109" s="1"/>
      <c r="B109" s="10"/>
      <c r="C109" s="10"/>
      <c r="D109" s="10"/>
      <c r="H109" s="43"/>
      <c r="I109" s="43"/>
    </row>
    <row r="110" spans="1:9" ht="15" customHeight="1">
      <c r="A110" s="52" t="s">
        <v>151</v>
      </c>
      <c r="B110" s="10"/>
      <c r="C110" s="10"/>
      <c r="D110" s="10"/>
    </row>
    <row r="111" spans="1:9" ht="15" customHeight="1">
      <c r="A111" s="42" t="s">
        <v>152</v>
      </c>
      <c r="B111" s="10">
        <v>1561</v>
      </c>
      <c r="C111" s="10">
        <v>1098</v>
      </c>
      <c r="D111" s="10">
        <v>916</v>
      </c>
    </row>
    <row r="112" spans="1:9" ht="15" customHeight="1">
      <c r="A112" s="42" t="s">
        <v>153</v>
      </c>
      <c r="B112" s="10">
        <v>8633</v>
      </c>
      <c r="C112" s="10">
        <v>6722</v>
      </c>
      <c r="D112" s="10">
        <v>4475</v>
      </c>
    </row>
    <row r="113" spans="1:4" ht="15" customHeight="1">
      <c r="A113" s="42" t="s">
        <v>160</v>
      </c>
      <c r="B113" s="10">
        <v>374</v>
      </c>
      <c r="C113" s="10">
        <v>521</v>
      </c>
      <c r="D113" s="10">
        <v>612</v>
      </c>
    </row>
    <row r="114" spans="1:4" ht="15" customHeight="1">
      <c r="A114" s="42" t="s">
        <v>154</v>
      </c>
      <c r="B114" s="10">
        <v>207</v>
      </c>
      <c r="C114" s="10">
        <v>153</v>
      </c>
      <c r="D114" s="10">
        <v>102</v>
      </c>
    </row>
    <row r="115" spans="1:4" ht="15" customHeight="1">
      <c r="A115" s="42" t="s">
        <v>155</v>
      </c>
      <c r="B115" s="10">
        <v>6035</v>
      </c>
      <c r="C115" s="10">
        <v>3688</v>
      </c>
      <c r="D115" s="10">
        <v>1713</v>
      </c>
    </row>
    <row r="116" spans="1:4" ht="15" customHeight="1">
      <c r="A116" s="42" t="s">
        <v>156</v>
      </c>
      <c r="B116" s="10">
        <v>18800</v>
      </c>
      <c r="C116" s="10">
        <v>25369</v>
      </c>
      <c r="D116" s="10">
        <v>16217</v>
      </c>
    </row>
    <row r="117" spans="1:4" ht="15" customHeight="1">
      <c r="A117" s="42" t="s">
        <v>157</v>
      </c>
      <c r="B117" s="10">
        <v>675</v>
      </c>
      <c r="C117" s="10">
        <v>7061</v>
      </c>
      <c r="D117" s="10">
        <v>11588</v>
      </c>
    </row>
    <row r="118" spans="1:4" ht="15" customHeight="1">
      <c r="A118" s="42" t="s">
        <v>158</v>
      </c>
      <c r="B118" s="10">
        <v>3187</v>
      </c>
      <c r="C118" s="10">
        <v>5846</v>
      </c>
      <c r="D118" s="10">
        <v>2267</v>
      </c>
    </row>
    <row r="119" spans="1:4" ht="15" customHeight="1">
      <c r="A119" s="42" t="s">
        <v>159</v>
      </c>
      <c r="B119" s="10">
        <v>5158</v>
      </c>
      <c r="C119" s="10">
        <v>230</v>
      </c>
      <c r="D119" s="33" t="s">
        <v>127</v>
      </c>
    </row>
    <row r="120" spans="1:4" ht="15" customHeight="1"/>
    <row r="121" spans="1:4" ht="15" customHeight="1"/>
    <row r="122" spans="1:4" ht="15" customHeight="1"/>
    <row r="123" spans="1:4" ht="15" customHeight="1"/>
    <row r="124" spans="1:4" ht="15" customHeight="1"/>
    <row r="125" spans="1:4" ht="15" customHeight="1"/>
    <row r="126" spans="1:4" ht="15" customHeight="1"/>
    <row r="127" spans="1:4" ht="15" customHeight="1"/>
    <row r="128" spans="1:4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</sheetData>
  <mergeCells count="7">
    <mergeCell ref="H3:I3"/>
    <mergeCell ref="B72:D72"/>
    <mergeCell ref="A2:D2"/>
    <mergeCell ref="B3:D3"/>
    <mergeCell ref="A33:D33"/>
    <mergeCell ref="B34:D34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8"/>
  <sheetViews>
    <sheetView tabSelected="1" topLeftCell="A25" zoomScale="125" workbookViewId="0">
      <selection activeCell="C47" sqref="C47"/>
    </sheetView>
  </sheetViews>
  <sheetFormatPr baseColWidth="10" defaultColWidth="8.83203125" defaultRowHeight="15"/>
  <cols>
    <col min="1" max="1" width="4.6640625" customWidth="1"/>
    <col min="2" max="2" width="44.83203125" customWidth="1"/>
    <col min="3" max="3" width="11.33203125" bestFit="1" customWidth="1"/>
    <col min="4" max="5" width="11.1640625" bestFit="1" customWidth="1"/>
    <col min="11" max="11" width="44.1640625" customWidth="1"/>
  </cols>
  <sheetData>
    <row r="1" spans="1:13" ht="60" customHeight="1">
      <c r="A1" s="7"/>
      <c r="B1" s="20" t="s">
        <v>57</v>
      </c>
      <c r="C1" s="21"/>
      <c r="D1" s="21"/>
      <c r="E1" s="21"/>
      <c r="F1" s="21"/>
      <c r="G1" s="21"/>
      <c r="H1" s="21"/>
      <c r="I1" s="21"/>
      <c r="J1" s="21"/>
    </row>
    <row r="2" spans="1:13">
      <c r="C2" s="64" t="s">
        <v>58</v>
      </c>
      <c r="D2" s="64"/>
      <c r="E2" s="64"/>
    </row>
    <row r="3" spans="1:13">
      <c r="C3" s="9">
        <v>2022</v>
      </c>
      <c r="D3" s="9">
        <v>2021</v>
      </c>
      <c r="E3" s="9">
        <v>2020</v>
      </c>
    </row>
    <row r="4" spans="1:13">
      <c r="A4" s="22">
        <v>1</v>
      </c>
      <c r="B4" s="9" t="s">
        <v>13</v>
      </c>
    </row>
    <row r="5" spans="1:13">
      <c r="A5" s="22">
        <f>+A4+0.1</f>
        <v>1.1000000000000001</v>
      </c>
      <c r="B5" s="1" t="s">
        <v>14</v>
      </c>
      <c r="C5" s="53">
        <f>'Financial Statements'!B41/'Financial Statements'!B54</f>
        <v>0.9446435811136924</v>
      </c>
      <c r="D5" s="53">
        <f>'Financial Statements'!C41/'Financial Statements'!C54</f>
        <v>1.1357597739445826</v>
      </c>
      <c r="E5" s="53">
        <f>'Financial Statements'!D41/'Financial Statements'!D54</f>
        <v>1.0502274795268425</v>
      </c>
      <c r="H5" s="43">
        <f>(C5-D5)/D5</f>
        <v>-0.16827166907587218</v>
      </c>
      <c r="I5" s="43">
        <f>(D5-E5)/E5</f>
        <v>8.1441683906685505E-2</v>
      </c>
      <c r="K5" t="s">
        <v>161</v>
      </c>
    </row>
    <row r="6" spans="1:13">
      <c r="A6" s="22">
        <f t="shared" ref="A6:A13" si="0">+A5+0.1</f>
        <v>1.2000000000000002</v>
      </c>
      <c r="B6" s="1" t="s">
        <v>15</v>
      </c>
      <c r="C6" s="53">
        <f>('Financial Statements'!B37+'Financial Statements'!B38+'Financial Statements'!B40)/'Financial Statements'!B54</f>
        <v>0.72323721145740161</v>
      </c>
      <c r="D6" s="53">
        <f>('Financial Statements'!C37+'Financial Statements'!C38+'Financial Statements'!C40)/'Financial Statements'!C54</f>
        <v>0.90633039517523517</v>
      </c>
      <c r="E6" s="53">
        <f>('Financial Statements'!D37+'Financial Statements'!D38+'Financial Statements'!D40)/'Financial Statements'!D54</f>
        <v>0.86195355461486722</v>
      </c>
      <c r="H6" s="43">
        <f t="shared" ref="H6:H14" si="1">(C6-D6)/D6</f>
        <v>-0.20201593667443235</v>
      </c>
      <c r="I6" s="43">
        <f t="shared" ref="I6:I14" si="2">(D6-E6)/E6</f>
        <v>5.1484027558997808E-2</v>
      </c>
      <c r="K6" t="s">
        <v>162</v>
      </c>
      <c r="M6" t="s">
        <v>163</v>
      </c>
    </row>
    <row r="7" spans="1:13">
      <c r="A7" s="22">
        <f t="shared" si="0"/>
        <v>1.3000000000000003</v>
      </c>
      <c r="B7" s="1" t="s">
        <v>16</v>
      </c>
      <c r="C7" s="53">
        <f>'Financial Statements'!B37/'Financial Statements'!B54</f>
        <v>0.34678524772673158</v>
      </c>
      <c r="D7" s="53">
        <f>'Financial Statements'!C37/'Financial Statements'!C54</f>
        <v>0.25459350793583851</v>
      </c>
      <c r="E7" s="53">
        <f>'Financial Statements'!D37/'Financial Statements'!D54</f>
        <v>0.33328322190133325</v>
      </c>
      <c r="H7" s="43">
        <f t="shared" si="1"/>
        <v>0.36211347468501359</v>
      </c>
      <c r="I7" s="43">
        <f t="shared" si="2"/>
        <v>-0.23610463652079794</v>
      </c>
      <c r="K7" t="s">
        <v>164</v>
      </c>
    </row>
    <row r="8" spans="1:13">
      <c r="A8" s="22">
        <f t="shared" si="0"/>
        <v>1.4000000000000004</v>
      </c>
      <c r="B8" s="1" t="s">
        <v>17</v>
      </c>
      <c r="C8" s="54">
        <f>('Financial Statements'!B37+'Financial Statements'!B38+'Financial Statements'!B40)/(('Financial Statements'!B15-('Financial Statements'!B79+'Financial Statements'!B80+'Financial Statements'!B81+'Financial Statements'!B82))/365)</f>
        <v>95.093341060562167</v>
      </c>
      <c r="D8" s="54">
        <f>('Financial Statements'!C37+'Financial Statements'!C38+'Financial Statements'!C40)/(('Financial Statements'!C15-('Financial Statements'!C79+'Financial Statements'!C80+'Financial Statements'!C81+'Financial Statements'!C82))/365)</f>
        <v>114.128608115547</v>
      </c>
      <c r="E8" s="54">
        <f>('Financial Statements'!D37+'Financial Statements'!D38+'Financial Statements'!D40)/(('Financial Statements'!D15-('Financial Statements'!D79+'Financial Statements'!D80+'Financial Statements'!D81+'Financial Statements'!D82))/365)</f>
        <v>119.79756743483985</v>
      </c>
      <c r="H8" s="43">
        <f t="shared" si="1"/>
        <v>-0.16678786650681826</v>
      </c>
      <c r="I8" s="43">
        <f t="shared" si="2"/>
        <v>-4.7321155518256296E-2</v>
      </c>
      <c r="K8" t="s">
        <v>165</v>
      </c>
      <c r="M8" t="s">
        <v>166</v>
      </c>
    </row>
    <row r="9" spans="1:13">
      <c r="A9" s="22">
        <f t="shared" si="0"/>
        <v>1.5000000000000004</v>
      </c>
      <c r="B9" s="1" t="s">
        <v>18</v>
      </c>
      <c r="C9" s="53">
        <f>'Financial Statements'!B39/'Financial Statements'!B9*365</f>
        <v>43.4781065744328</v>
      </c>
      <c r="D9" s="53">
        <f>'Financial Statements'!C39/'Financial Statements'!C9*365</f>
        <v>43.744675851129458</v>
      </c>
      <c r="E9" s="53">
        <f>'Financial Statements'!D39/'Financial Statements'!D9*365</f>
        <v>37.226379834295585</v>
      </c>
      <c r="H9" s="43">
        <f t="shared" si="1"/>
        <v>-6.0937536170993156E-3</v>
      </c>
      <c r="I9" s="43">
        <f t="shared" si="2"/>
        <v>0.17509884242971044</v>
      </c>
      <c r="K9" t="s">
        <v>167</v>
      </c>
    </row>
    <row r="10" spans="1:13">
      <c r="A10" s="22">
        <f t="shared" si="0"/>
        <v>1.6000000000000005</v>
      </c>
      <c r="B10" s="1" t="s">
        <v>19</v>
      </c>
      <c r="C10" s="53">
        <f>'Financial Statements'!B51/'Financial Statements'!B9*365</f>
        <v>100.59169548975007</v>
      </c>
      <c r="D10" s="53">
        <f>'Financial Statements'!C51/'Financial Statements'!C9*365</f>
        <v>105.42681314807743</v>
      </c>
      <c r="E10" s="53">
        <f>'Financial Statements'!D51/'Financial Statements'!D9*365</f>
        <v>113.48452896826929</v>
      </c>
      <c r="H10" s="43">
        <f t="shared" si="1"/>
        <v>-4.5862314471520532E-2</v>
      </c>
      <c r="I10" s="43">
        <f t="shared" si="2"/>
        <v>-7.1002769218391243E-2</v>
      </c>
      <c r="K10" t="s">
        <v>168</v>
      </c>
    </row>
    <row r="11" spans="1:13">
      <c r="A11" s="22">
        <f t="shared" si="0"/>
        <v>1.7000000000000006</v>
      </c>
      <c r="B11" s="1" t="s">
        <v>20</v>
      </c>
      <c r="C11" s="53">
        <f>'Financial Statements'!B40/'Financial Statements'!B8*365</f>
        <v>30.081539661817608</v>
      </c>
      <c r="D11" s="53">
        <f>'Financial Statements'!C40/'Financial Statements'!C8*365</f>
        <v>25.552688039299991</v>
      </c>
      <c r="E11" s="53">
        <f>'Financial Statements'!D40/'Financial Statements'!D8*365</f>
        <v>23.202966347548593</v>
      </c>
      <c r="H11" s="43">
        <f t="shared" si="1"/>
        <v>0.17723582018268494</v>
      </c>
      <c r="I11" s="43">
        <f t="shared" si="2"/>
        <v>0.10126815927566295</v>
      </c>
      <c r="K11" t="s">
        <v>169</v>
      </c>
    </row>
    <row r="12" spans="1:13">
      <c r="A12" s="22">
        <f t="shared" si="0"/>
        <v>1.8000000000000007</v>
      </c>
      <c r="B12" s="1" t="s">
        <v>21</v>
      </c>
      <c r="C12" s="53">
        <f>C9-C10+C11</f>
        <v>-27.032049253499657</v>
      </c>
      <c r="D12" s="53">
        <f t="shared" ref="D12:E12" si="3">D9-D10+D11</f>
        <v>-36.129449257647977</v>
      </c>
      <c r="E12" s="53">
        <f t="shared" si="3"/>
        <v>-53.055182786425107</v>
      </c>
      <c r="H12" s="43">
        <f t="shared" si="1"/>
        <v>-0.25180012956390574</v>
      </c>
      <c r="I12" s="43">
        <f t="shared" si="2"/>
        <v>-0.31902130272384643</v>
      </c>
      <c r="K12" t="s">
        <v>170</v>
      </c>
    </row>
    <row r="13" spans="1:13">
      <c r="A13" s="22">
        <f t="shared" si="0"/>
        <v>1.9000000000000008</v>
      </c>
      <c r="B13" s="1" t="s">
        <v>22</v>
      </c>
      <c r="C13" s="43">
        <f>C14/'Financial Statements'!B8</f>
        <v>-1.6735962084349094E-2</v>
      </c>
      <c r="D13" s="43">
        <f>D14/'Financial Statements'!C8</f>
        <v>4.1109186032156859E-2</v>
      </c>
      <c r="E13" s="43">
        <f>E14/'Financial Statements'!D8</f>
        <v>1.6442869576028845E-2</v>
      </c>
      <c r="H13" s="43">
        <f t="shared" si="1"/>
        <v>-1.4071100330533841</v>
      </c>
      <c r="I13" s="43">
        <f t="shared" si="2"/>
        <v>1.5001223686702279</v>
      </c>
      <c r="K13" t="s">
        <v>171</v>
      </c>
    </row>
    <row r="14" spans="1:13">
      <c r="A14" s="22"/>
      <c r="B14" s="19" t="s">
        <v>23</v>
      </c>
      <c r="C14" s="59">
        <f>'Financial Statements'!B41-'Financial Statements'!B54</f>
        <v>-8602</v>
      </c>
      <c r="D14" s="59">
        <f>'Financial Statements'!C41-'Financial Statements'!C54</f>
        <v>19314</v>
      </c>
      <c r="E14" s="59">
        <f>'Financial Statements'!D41-'Financial Statements'!D54</f>
        <v>6348</v>
      </c>
      <c r="F14" t="s">
        <v>172</v>
      </c>
      <c r="H14" s="43">
        <f t="shared" si="1"/>
        <v>-1.4453764108936522</v>
      </c>
      <c r="I14" s="43">
        <f t="shared" si="2"/>
        <v>2.0425330812854443</v>
      </c>
      <c r="K14" t="s">
        <v>173</v>
      </c>
    </row>
    <row r="15" spans="1:13" ht="23">
      <c r="A15" s="22"/>
      <c r="C15" s="59"/>
      <c r="D15" s="59"/>
      <c r="E15" s="59"/>
      <c r="J15" s="55"/>
      <c r="K15" s="55"/>
    </row>
    <row r="16" spans="1:13">
      <c r="A16" s="22">
        <f>+A4+1</f>
        <v>2</v>
      </c>
      <c r="B16" s="23" t="s">
        <v>24</v>
      </c>
    </row>
    <row r="17" spans="1:13">
      <c r="A17" s="22">
        <f>+A16+0.1</f>
        <v>2.1</v>
      </c>
      <c r="B17" s="1" t="s">
        <v>10</v>
      </c>
      <c r="C17" s="59">
        <f>'Financial Statements'!B8-'Financial Statements'!B9</f>
        <v>225152</v>
      </c>
      <c r="D17" s="59">
        <f>'Financial Statements'!C8-'Financial Statements'!C9</f>
        <v>197478</v>
      </c>
      <c r="E17" s="59">
        <f>'Financial Statements'!D8-'Financial Statements'!D9</f>
        <v>152757</v>
      </c>
      <c r="F17" t="s">
        <v>172</v>
      </c>
      <c r="K17" t="s">
        <v>174</v>
      </c>
    </row>
    <row r="18" spans="1:13">
      <c r="A18" s="22">
        <f>+A17+0.1</f>
        <v>2.2000000000000002</v>
      </c>
      <c r="B18" s="1" t="s">
        <v>25</v>
      </c>
      <c r="C18" s="43">
        <f>C19/'Financial Statements'!B8</f>
        <v>0.10539064521589235</v>
      </c>
      <c r="D18" s="43">
        <f>D19/'Financial Statements'!C8</f>
        <v>0.12624355607017126</v>
      </c>
      <c r="E18" s="43">
        <f>E19/'Financial Statements'!D8</f>
        <v>0.12453634630527581</v>
      </c>
      <c r="K18" t="s">
        <v>175</v>
      </c>
    </row>
    <row r="19" spans="1:13">
      <c r="A19" s="22"/>
      <c r="B19" s="19" t="s">
        <v>26</v>
      </c>
      <c r="C19" s="59">
        <f>'Financial Statements'!B16+'Financial Statements'!B79</f>
        <v>54169</v>
      </c>
      <c r="D19" s="59">
        <f>'Financial Statements'!C16+'Financial Statements'!C79</f>
        <v>59312</v>
      </c>
      <c r="E19" s="59">
        <f>'Financial Statements'!D16+'Financial Statements'!D79</f>
        <v>48079</v>
      </c>
      <c r="F19" t="s">
        <v>172</v>
      </c>
      <c r="K19" t="s">
        <v>176</v>
      </c>
    </row>
    <row r="20" spans="1:13">
      <c r="A20" s="22">
        <f>+A18+0.1</f>
        <v>2.3000000000000003</v>
      </c>
      <c r="B20" s="1" t="s">
        <v>27</v>
      </c>
      <c r="C20" s="43">
        <f>C21/'Financial Statements'!B8</f>
        <v>2.3829581912242232E-2</v>
      </c>
      <c r="D20" s="43">
        <f>D21/'Financial Statements'!C8</f>
        <v>5.2954097509269465E-2</v>
      </c>
      <c r="E20" s="43">
        <f>E21/'Financial Statements'!D8</f>
        <v>5.9313999751336569E-2</v>
      </c>
      <c r="K20" t="s">
        <v>177</v>
      </c>
    </row>
    <row r="21" spans="1:13">
      <c r="A21" s="22"/>
      <c r="B21" s="19" t="s">
        <v>28</v>
      </c>
      <c r="C21" s="59">
        <f>'Financial Statements'!B16</f>
        <v>12248</v>
      </c>
      <c r="D21" s="59">
        <f>'Financial Statements'!C16</f>
        <v>24879</v>
      </c>
      <c r="E21" s="59">
        <f>'Financial Statements'!D16</f>
        <v>22899</v>
      </c>
      <c r="F21" t="s">
        <v>172</v>
      </c>
      <c r="K21" t="s">
        <v>178</v>
      </c>
      <c r="L21" s="56" t="s">
        <v>179</v>
      </c>
      <c r="M21" s="57" t="s">
        <v>180</v>
      </c>
    </row>
    <row r="22" spans="1:13">
      <c r="A22" s="22">
        <f>+A20+0.1</f>
        <v>2.4000000000000004</v>
      </c>
      <c r="B22" s="1" t="s">
        <v>29</v>
      </c>
      <c r="C22" s="43">
        <f>'Financial Statements'!B24/'Financial Statements'!B8</f>
        <v>-5.2958950004183018E-3</v>
      </c>
      <c r="D22" s="43">
        <f>'Financial Statements'!C24/'Financial Statements'!C8</f>
        <v>7.1014128755145567E-2</v>
      </c>
      <c r="E22" s="43">
        <f>'Financial Statements'!D24/'Financial Statements'!D8</f>
        <v>5.5252496995316841E-2</v>
      </c>
      <c r="K22" t="s">
        <v>181</v>
      </c>
    </row>
    <row r="23" spans="1:13">
      <c r="A23" s="22"/>
    </row>
    <row r="24" spans="1:13">
      <c r="A24" s="22">
        <f>+A16+1</f>
        <v>3</v>
      </c>
      <c r="B24" s="9" t="s">
        <v>208</v>
      </c>
    </row>
    <row r="25" spans="1:13">
      <c r="A25" s="22">
        <f>+A24+0.1</f>
        <v>3.1</v>
      </c>
      <c r="B25" s="1" t="s">
        <v>30</v>
      </c>
      <c r="C25" s="53">
        <f>'Financial Statements'!B57/'Financial Statements'!B68</f>
        <v>0.45979608745369516</v>
      </c>
      <c r="D25" s="53">
        <f>'Financial Statements'!C57/'Financial Statements'!C68</f>
        <v>0.35259141379435061</v>
      </c>
      <c r="E25" s="53">
        <f>'Financial Statements'!D57/'Financial Statements'!D68</f>
        <v>0.34062781037214679</v>
      </c>
      <c r="H25" s="43">
        <f>(C25-D25)/D25</f>
        <v>0.304047885073775</v>
      </c>
      <c r="I25" s="43">
        <f>(D25-E25)/E25</f>
        <v>3.5122215679140222E-2</v>
      </c>
      <c r="K25" t="s">
        <v>182</v>
      </c>
    </row>
    <row r="26" spans="1:13">
      <c r="A26" s="22">
        <f t="shared" ref="A26:A30" si="4">+A25+0.1</f>
        <v>3.2</v>
      </c>
      <c r="B26" s="1" t="s">
        <v>31</v>
      </c>
      <c r="C26" s="53">
        <f>'Financial Statements'!B57/'Financial Statements'!B48</f>
        <v>0.14513427351812827</v>
      </c>
      <c r="D26" s="53">
        <f>'Financial Statements'!C57/'Financial Statements'!C48</f>
        <v>0.11590563763081116</v>
      </c>
      <c r="E26" s="53">
        <f>'Financial Statements'!D57/'Financial Statements'!D48</f>
        <v>9.9055091144009094E-2</v>
      </c>
      <c r="H26" s="43">
        <f t="shared" ref="H26:H31" si="5">(C26-D26)/D26</f>
        <v>0.25217613642243814</v>
      </c>
      <c r="I26" s="43">
        <f t="shared" ref="I26:I31" si="6">(D26-E26)/E26</f>
        <v>0.17011287650328102</v>
      </c>
      <c r="K26" t="s">
        <v>183</v>
      </c>
    </row>
    <row r="27" spans="1:13">
      <c r="A27" s="22">
        <f t="shared" si="4"/>
        <v>3.3000000000000003</v>
      </c>
      <c r="B27" s="1" t="s">
        <v>32</v>
      </c>
      <c r="C27" s="53">
        <f>'Financial Statements'!B57/('Financial Statements'!B59+'Financial Statements'!B68)</f>
        <v>0.21852890829921701</v>
      </c>
      <c r="D27" s="53">
        <f>'Financial Statements'!C57/('Financial Statements'!C59+'Financial Statements'!C68)</f>
        <v>0.17515981932061966</v>
      </c>
      <c r="E27" s="53">
        <f>'Financial Statements'!D57/('Financial Statements'!D59+'Financial Statements'!D68)</f>
        <v>0.16331810482008111</v>
      </c>
      <c r="H27" s="43">
        <f t="shared" si="5"/>
        <v>0.24759724659919177</v>
      </c>
      <c r="I27" s="43">
        <f t="shared" si="6"/>
        <v>7.2507053113210859E-2</v>
      </c>
      <c r="K27" t="s">
        <v>184</v>
      </c>
    </row>
    <row r="28" spans="1:13">
      <c r="A28" s="22">
        <f t="shared" si="4"/>
        <v>3.4000000000000004</v>
      </c>
      <c r="B28" s="1" t="s">
        <v>33</v>
      </c>
      <c r="C28" s="53">
        <f>C21/'Financial Statements'!B111</f>
        <v>7.8462524023062139</v>
      </c>
      <c r="D28" s="53">
        <f>D21/'Financial Statements'!C111</f>
        <v>22.65846994535519</v>
      </c>
      <c r="E28" s="53">
        <f>E21/'Financial Statements'!D111</f>
        <v>24.998908296943231</v>
      </c>
      <c r="H28" s="43">
        <f t="shared" si="5"/>
        <v>-0.65371658275122702</v>
      </c>
      <c r="I28" s="43">
        <f t="shared" si="6"/>
        <v>-9.3621622343973351E-2</v>
      </c>
      <c r="K28" t="s">
        <v>185</v>
      </c>
    </row>
    <row r="29" spans="1:13">
      <c r="A29" s="22">
        <f t="shared" si="4"/>
        <v>3.5000000000000004</v>
      </c>
      <c r="B29" s="1" t="s">
        <v>34</v>
      </c>
      <c r="C29" s="53">
        <f>C21/('Financial Statements'!B111-'Financial Statements'!B102)</f>
        <v>4.344803121674353</v>
      </c>
      <c r="D29" s="53">
        <f>D21/('Financial Statements'!C111-'Financial Statements'!C102)</f>
        <v>9.2555803571428577</v>
      </c>
      <c r="E29" s="53">
        <f>E21/('Financial Statements'!D111-'Financial Statements'!D102)</f>
        <v>9.2746051032806811</v>
      </c>
      <c r="H29" s="43">
        <f t="shared" si="5"/>
        <v>-0.53057475014829136</v>
      </c>
      <c r="I29" s="43">
        <f t="shared" si="6"/>
        <v>-2.0512729033707196E-3</v>
      </c>
      <c r="K29" t="s">
        <v>186</v>
      </c>
    </row>
    <row r="30" spans="1:13">
      <c r="A30" s="22">
        <f t="shared" si="4"/>
        <v>3.6000000000000005</v>
      </c>
      <c r="B30" s="1" t="s">
        <v>35</v>
      </c>
      <c r="C30" s="58">
        <f>C31/'Financial Statements'!B29</f>
        <v>3.6814211404455786</v>
      </c>
      <c r="D30" s="58">
        <f>D31/'Financial Statements'!C29</f>
        <v>1.0129485025205101</v>
      </c>
      <c r="E30" s="58">
        <f>E31/'Financial Statements'!D29</f>
        <v>4.0899550224887555</v>
      </c>
      <c r="H30" s="43">
        <f t="shared" si="5"/>
        <v>2.6343616001061592</v>
      </c>
      <c r="I30" s="43">
        <f t="shared" si="6"/>
        <v>-0.75233260587200135</v>
      </c>
    </row>
    <row r="31" spans="1:13">
      <c r="A31" s="22"/>
      <c r="B31" s="19" t="s">
        <v>36</v>
      </c>
      <c r="C31" s="59">
        <f>'Financial Statements'!B89+'Financial Statements'!B99+'Financial Statements'!B101+'Financial Statements'!B93+'Financial Statements'!B91</f>
        <v>37510</v>
      </c>
      <c r="D31" s="59">
        <f>'Financial Statements'!C89+'Financial Statements'!C99+'Financial Statements'!C101+'Financial Statements'!C93+'Financial Statements'!C91</f>
        <v>10248</v>
      </c>
      <c r="E31" s="59">
        <f>'Financial Statements'!D89+'Financial Statements'!D99+'Financial Statements'!D101+'Financial Statements'!D93+'Financial Statements'!D91</f>
        <v>40920</v>
      </c>
      <c r="F31" t="s">
        <v>172</v>
      </c>
      <c r="H31" s="43">
        <f t="shared" si="5"/>
        <v>2.6602263856362218</v>
      </c>
      <c r="I31" s="43">
        <f t="shared" si="6"/>
        <v>-0.74956011730205274</v>
      </c>
      <c r="K31" t="s">
        <v>207</v>
      </c>
    </row>
    <row r="32" spans="1:13" ht="17">
      <c r="A32" s="22"/>
      <c r="J32" s="60"/>
      <c r="K32" s="60"/>
    </row>
    <row r="33" spans="1:13" ht="17">
      <c r="A33" s="22">
        <f>+A24+1</f>
        <v>4</v>
      </c>
      <c r="B33" s="23" t="s">
        <v>37</v>
      </c>
      <c r="J33" s="60"/>
      <c r="K33" s="60"/>
    </row>
    <row r="34" spans="1:13">
      <c r="A34" s="22">
        <f>+A33+0.1</f>
        <v>4.0999999999999996</v>
      </c>
      <c r="B34" s="1" t="s">
        <v>38</v>
      </c>
      <c r="C34" s="53">
        <f>'Financial Statements'!B8/(('Financial Statements'!B48+'Financial Statements'!C48)/2)</f>
        <v>1.1638791518346421</v>
      </c>
      <c r="D34" s="53">
        <f>'Financial Statements'!C8/(('Financial Statements'!C48+'Financial Statements'!D48)/2)</f>
        <v>1.2668036411484285</v>
      </c>
      <c r="E34" s="53" t="s">
        <v>205</v>
      </c>
      <c r="H34" s="43">
        <f t="shared" ref="H34:I37" si="7">(C34-D34)/D34</f>
        <v>-8.1247389864209402E-2</v>
      </c>
      <c r="I34" s="43"/>
      <c r="K34" t="s">
        <v>187</v>
      </c>
      <c r="M34" t="s">
        <v>188</v>
      </c>
    </row>
    <row r="35" spans="1:13">
      <c r="A35" s="22">
        <f t="shared" ref="A35:A37" si="8">+A34+0.1</f>
        <v>4.1999999999999993</v>
      </c>
      <c r="B35" s="1" t="s">
        <v>39</v>
      </c>
      <c r="C35" s="53">
        <f>'Financial Statements'!B8/(('Financial Statements'!B75+'Financial Statements'!B108)/2)</f>
        <v>11.329945993607407</v>
      </c>
      <c r="D35" s="53">
        <f>'Financial Statements'!C8/(('Financial Statements'!C75+'Financial Statements'!C108)/2)</f>
        <v>11.916250285337458</v>
      </c>
      <c r="E35" s="53">
        <f>'Financial Statements'!D8/(('Financial Statements'!D75+'Financial Statements'!D108)/2)</f>
        <v>9.8001954637186337</v>
      </c>
      <c r="H35" s="43">
        <f t="shared" si="7"/>
        <v>-4.9202079319488563E-2</v>
      </c>
      <c r="I35" s="43">
        <f t="shared" si="7"/>
        <v>0.21591965481226214</v>
      </c>
      <c r="K35" t="s">
        <v>189</v>
      </c>
      <c r="M35" t="s">
        <v>190</v>
      </c>
    </row>
    <row r="36" spans="1:13">
      <c r="A36" s="22">
        <f t="shared" si="8"/>
        <v>4.2999999999999989</v>
      </c>
      <c r="B36" s="1" t="s">
        <v>40</v>
      </c>
      <c r="C36" s="53">
        <f>'Financial Statements'!B9/'Financial Statements'!B39</f>
        <v>8.3950297921813686</v>
      </c>
      <c r="D36" s="53">
        <f>'Financial Statements'!C9/'Financial Statements'!C39</f>
        <v>8.3438725490196077</v>
      </c>
      <c r="E36" s="53">
        <f>'Financial Statements'!D9/'Financial Statements'!D39</f>
        <v>9.8048749737339769</v>
      </c>
      <c r="H36" s="43">
        <f t="shared" si="7"/>
        <v>6.1311151220510606E-3</v>
      </c>
      <c r="I36" s="43">
        <f t="shared" si="7"/>
        <v>-0.14900775671573685</v>
      </c>
      <c r="K36" t="s">
        <v>191</v>
      </c>
    </row>
    <row r="37" spans="1:13">
      <c r="A37" s="22">
        <f t="shared" si="8"/>
        <v>4.3999999999999986</v>
      </c>
      <c r="B37" s="1" t="s">
        <v>41</v>
      </c>
      <c r="C37" s="43">
        <f>'Financial Statements'!B24/'Financial Statements'!B48</f>
        <v>-5.8831793375479545E-3</v>
      </c>
      <c r="D37" s="43">
        <f>'Financial Statements'!C24/'Financial Statements'!C48</f>
        <v>7.9334393851846041E-2</v>
      </c>
      <c r="E37" s="43">
        <f>'Financial Statements'!D24/'Financial Statements'!D48</f>
        <v>6.6411370040006856E-2</v>
      </c>
      <c r="H37" s="43">
        <f t="shared" si="7"/>
        <v>-1.0741567314238836</v>
      </c>
      <c r="I37" s="43">
        <f t="shared" si="7"/>
        <v>0.19459053177271043</v>
      </c>
      <c r="K37" t="s">
        <v>192</v>
      </c>
    </row>
    <row r="38" spans="1:13">
      <c r="A38" s="22"/>
    </row>
    <row r="39" spans="1:13">
      <c r="A39" s="22">
        <f>+A33+1</f>
        <v>5</v>
      </c>
      <c r="B39" s="23" t="s">
        <v>42</v>
      </c>
    </row>
    <row r="40" spans="1:13">
      <c r="A40" s="22">
        <f>+A39+0.1</f>
        <v>5.0999999999999996</v>
      </c>
      <c r="B40" s="1" t="s">
        <v>43</v>
      </c>
      <c r="C40" s="53">
        <f>C55/'Financial Statements'!B26</f>
        <v>-481.22222222222223</v>
      </c>
      <c r="D40" s="53">
        <f>D55/'Financial Statements'!C26</f>
        <v>54</v>
      </c>
      <c r="E40" s="53">
        <f>E55/'Financial Statements'!D26</f>
        <v>62.295774647887328</v>
      </c>
      <c r="H40" s="43">
        <f t="shared" ref="H40:I40" si="9">(C40-D40)/D40</f>
        <v>-9.9115226337448554</v>
      </c>
      <c r="I40" s="43">
        <f t="shared" si="9"/>
        <v>-0.13316753334840611</v>
      </c>
      <c r="K40" t="s">
        <v>193</v>
      </c>
    </row>
    <row r="41" spans="1:13">
      <c r="A41" s="22">
        <f t="shared" ref="A41:A44" si="10">+A40+0.1</f>
        <v>5.1999999999999993</v>
      </c>
      <c r="B41" s="19" t="s">
        <v>44</v>
      </c>
      <c r="C41">
        <f>'Financial Statements'!B27</f>
        <v>-0.27</v>
      </c>
      <c r="D41">
        <f>'Financial Statements'!C27</f>
        <v>3.24</v>
      </c>
      <c r="E41">
        <f>'Financial Statements'!D27</f>
        <v>2.09</v>
      </c>
      <c r="G41" s="66"/>
      <c r="H41" s="43">
        <f t="shared" ref="H41:H51" si="11">(C41-D41)/D41</f>
        <v>-1.0833333333333333</v>
      </c>
      <c r="I41" s="43">
        <f t="shared" ref="I41:I51" si="12">(D41-E41)/E41</f>
        <v>0.55023923444976097</v>
      </c>
      <c r="K41" t="s">
        <v>194</v>
      </c>
    </row>
    <row r="42" spans="1:13">
      <c r="A42" s="22">
        <f t="shared" si="10"/>
        <v>5.2999999999999989</v>
      </c>
      <c r="B42" s="1" t="s">
        <v>45</v>
      </c>
      <c r="C42" s="53">
        <f>C55/C43</f>
        <v>9.0648423409543764</v>
      </c>
      <c r="D42" s="53">
        <f t="shared" ref="D42:E42" si="13">D55/D43</f>
        <v>13.040973633766139</v>
      </c>
      <c r="E42" s="53">
        <f t="shared" si="13"/>
        <v>14.213132735214765</v>
      </c>
      <c r="H42" s="43">
        <f t="shared" si="11"/>
        <v>-0.30489527887063789</v>
      </c>
      <c r="I42" s="43">
        <f t="shared" si="12"/>
        <v>-8.2470143865219753E-2</v>
      </c>
      <c r="K42" t="s">
        <v>195</v>
      </c>
    </row>
    <row r="43" spans="1:13">
      <c r="A43" s="22">
        <f t="shared" si="10"/>
        <v>5.3999999999999986</v>
      </c>
      <c r="B43" s="19" t="s">
        <v>46</v>
      </c>
      <c r="C43" s="53">
        <f>'Financial Statements'!B68/'Financial Statements'!B29</f>
        <v>14.333398763372264</v>
      </c>
      <c r="D43" s="53">
        <f>'Financial Statements'!C68/'Financial Statements'!C29</f>
        <v>13.66462390036572</v>
      </c>
      <c r="E43" s="53">
        <f>'Financial Statements'!D68/'Financial Statements'!D29</f>
        <v>9.3357321339330337</v>
      </c>
      <c r="H43" s="43">
        <f t="shared" si="11"/>
        <v>4.894206147808023E-2</v>
      </c>
      <c r="I43" s="43">
        <f t="shared" si="12"/>
        <v>0.46369065696500184</v>
      </c>
      <c r="K43" t="s">
        <v>196</v>
      </c>
    </row>
    <row r="44" spans="1:13">
      <c r="A44" s="22">
        <f t="shared" si="10"/>
        <v>5.4999999999999982</v>
      </c>
      <c r="B44" s="1" t="s">
        <v>47</v>
      </c>
      <c r="C44" s="33" t="s">
        <v>127</v>
      </c>
      <c r="D44" s="33" t="s">
        <v>127</v>
      </c>
      <c r="E44" s="33" t="s">
        <v>127</v>
      </c>
      <c r="H44" s="43"/>
      <c r="I44" s="43"/>
      <c r="K44" t="s">
        <v>197</v>
      </c>
    </row>
    <row r="45" spans="1:13">
      <c r="A45" s="22"/>
      <c r="B45" s="19" t="s">
        <v>48</v>
      </c>
      <c r="C45" s="33" t="s">
        <v>127</v>
      </c>
      <c r="D45" s="33" t="s">
        <v>127</v>
      </c>
      <c r="E45" s="33" t="s">
        <v>127</v>
      </c>
      <c r="G45" s="66"/>
      <c r="H45" s="43"/>
      <c r="I45" s="43"/>
      <c r="K45" t="s">
        <v>198</v>
      </c>
    </row>
    <row r="46" spans="1:13">
      <c r="A46" s="22">
        <f>+A44+0.1</f>
        <v>5.5999999999999979</v>
      </c>
      <c r="B46" s="1" t="s">
        <v>49</v>
      </c>
      <c r="C46" s="33" t="s">
        <v>127</v>
      </c>
      <c r="D46" s="33" t="s">
        <v>127</v>
      </c>
      <c r="E46" s="33" t="s">
        <v>127</v>
      </c>
      <c r="H46" s="43"/>
      <c r="I46" s="43"/>
      <c r="K46" t="s">
        <v>199</v>
      </c>
    </row>
    <row r="47" spans="1:13">
      <c r="A47" s="22">
        <f t="shared" ref="A47:A50" si="14">+A45+0.1</f>
        <v>0.1</v>
      </c>
      <c r="B47" s="1" t="s">
        <v>50</v>
      </c>
      <c r="C47" s="43">
        <f>'Financial Statements'!B24/'Financial Statements'!B68</f>
        <v>-1.8638346240490815E-2</v>
      </c>
      <c r="D47" s="43">
        <f>'Financial Statements'!C24/'Financial Statements'!C68</f>
        <v>0.2413396506202756</v>
      </c>
      <c r="E47" s="43">
        <f>'Financial Statements'!D24/'Financial Statements'!D68</f>
        <v>0.22837351719412444</v>
      </c>
      <c r="H47" s="43">
        <f t="shared" si="11"/>
        <v>-1.0772286948812089</v>
      </c>
      <c r="I47" s="43">
        <f t="shared" si="12"/>
        <v>5.6775993930721629E-2</v>
      </c>
      <c r="K47" t="s">
        <v>200</v>
      </c>
    </row>
    <row r="48" spans="1:13">
      <c r="A48" s="22">
        <f t="shared" si="14"/>
        <v>5.6999999999999975</v>
      </c>
      <c r="B48" s="1" t="s">
        <v>51</v>
      </c>
      <c r="C48" s="43">
        <f>'List of Ratios'!C21/('Financial Statements'!B57+'Financial Statements'!B68)</f>
        <v>5.745029151989043E-2</v>
      </c>
      <c r="D48" s="43">
        <f>'List of Ratios'!D21/('Financial Statements'!C57+'Financial Statements'!C68)</f>
        <v>0.13305060725497223</v>
      </c>
      <c r="E48" s="43">
        <f>'List of Ratios'!E21/('Financial Statements'!D57+'Financial Statements'!D68)</f>
        <v>0.18287014853857211</v>
      </c>
      <c r="H48" s="43">
        <f t="shared" si="11"/>
        <v>-0.568207220506741</v>
      </c>
      <c r="I48" s="43">
        <f t="shared" si="12"/>
        <v>-0.27243123977170958</v>
      </c>
      <c r="K48" t="s">
        <v>201</v>
      </c>
      <c r="M48" t="s">
        <v>202</v>
      </c>
    </row>
    <row r="49" spans="1:11">
      <c r="A49" s="22">
        <f t="shared" si="14"/>
        <v>0.2</v>
      </c>
      <c r="B49" s="1" t="s">
        <v>41</v>
      </c>
      <c r="C49" s="43">
        <f>'Financial Statements'!B24/'Financial Statements'!B48</f>
        <v>-5.8831793375479545E-3</v>
      </c>
      <c r="D49" s="43">
        <f>'Financial Statements'!C24/'Financial Statements'!C48</f>
        <v>7.9334393851846041E-2</v>
      </c>
      <c r="E49" s="43">
        <f>'Financial Statements'!D24/'Financial Statements'!D48</f>
        <v>6.6411370040006856E-2</v>
      </c>
      <c r="H49" s="43">
        <f t="shared" si="11"/>
        <v>-1.0741567314238836</v>
      </c>
      <c r="I49" s="43">
        <f t="shared" si="12"/>
        <v>0.19459053177271043</v>
      </c>
      <c r="K49" t="s">
        <v>192</v>
      </c>
    </row>
    <row r="50" spans="1:11">
      <c r="A50" s="22">
        <f t="shared" si="14"/>
        <v>5.7999999999999972</v>
      </c>
      <c r="B50" s="1" t="s">
        <v>52</v>
      </c>
      <c r="C50" s="61">
        <f>C51/C19</f>
        <v>27.552876553010023</v>
      </c>
      <c r="D50" s="61">
        <f t="shared" ref="D50:E50" si="15">D51/D19</f>
        <v>33.005789722147284</v>
      </c>
      <c r="E50" s="61">
        <f t="shared" si="15"/>
        <v>30.026465816676719</v>
      </c>
      <c r="H50" s="43">
        <f t="shared" si="11"/>
        <v>-0.16521080740808</v>
      </c>
      <c r="I50" s="43">
        <f t="shared" si="12"/>
        <v>9.9223262693002204E-2</v>
      </c>
      <c r="K50" t="s">
        <v>203</v>
      </c>
    </row>
    <row r="51" spans="1:11">
      <c r="A51" s="22"/>
      <c r="B51" s="19" t="s">
        <v>53</v>
      </c>
      <c r="C51" s="59">
        <f>(C55*'Financial Statements'!B29)+'Financial Statements'!B54+'Financial Statements'!B57-'Financial Statements'!B37</f>
        <v>1492511.77</v>
      </c>
      <c r="D51" s="59">
        <f>(D55*'Financial Statements'!C29)+'Financial Statements'!C54+'Financial Statements'!C57-'Financial Statements'!C37</f>
        <v>1957639.4</v>
      </c>
      <c r="E51" s="59">
        <f>(E55*'Financial Statements'!D29)+'Financial Statements'!D54+'Financial Statements'!D57-'Financial Statements'!D37</f>
        <v>1443642.45</v>
      </c>
      <c r="F51" t="s">
        <v>172</v>
      </c>
      <c r="G51" s="66"/>
      <c r="H51" s="43">
        <f t="shared" si="11"/>
        <v>-0.23759617322781709</v>
      </c>
      <c r="I51" s="43">
        <f t="shared" si="12"/>
        <v>0.35604172625985053</v>
      </c>
      <c r="K51" t="s">
        <v>204</v>
      </c>
    </row>
    <row r="54" spans="1:11">
      <c r="C54" s="62"/>
      <c r="D54" s="62"/>
      <c r="E54" s="62"/>
    </row>
    <row r="55" spans="1:11">
      <c r="B55" t="s">
        <v>206</v>
      </c>
      <c r="C55" s="53">
        <v>129.93</v>
      </c>
      <c r="D55" s="53">
        <v>178.2</v>
      </c>
      <c r="E55" s="53">
        <v>132.69</v>
      </c>
      <c r="H55" s="43">
        <f t="shared" ref="H55:I55" si="16">(C55-D55)/D55</f>
        <v>-0.27087542087542077</v>
      </c>
      <c r="I55" s="43">
        <f t="shared" si="16"/>
        <v>0.34297987791092011</v>
      </c>
    </row>
    <row r="58" spans="1:11">
      <c r="C58" s="53"/>
      <c r="D58" s="53"/>
      <c r="E58" s="53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2020-05-19T16:15:53Z</dcterms:created>
  <dcterms:modified xsi:type="dcterms:W3CDTF">2023-06-01T19:17:36Z</dcterms:modified>
</cp:coreProperties>
</file>