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688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C25" i="4"/>
  <c r="D25" i="4"/>
  <c r="E25" i="4"/>
  <c r="F25" i="4"/>
  <c r="G25" i="4"/>
  <c r="H25" i="4"/>
  <c r="B35" i="4"/>
  <c r="C35" i="4"/>
  <c r="D35" i="4"/>
  <c r="E35" i="4"/>
  <c r="F35" i="4"/>
  <c r="G35" i="4"/>
  <c r="H35" i="4"/>
  <c r="I35" i="4"/>
  <c r="I25" i="4"/>
  <c r="I23" i="4"/>
  <c r="C23" i="4"/>
  <c r="C62" i="4"/>
  <c r="D62" i="4"/>
  <c r="E62" i="4"/>
  <c r="F62" i="4"/>
  <c r="G62" i="4"/>
  <c r="H62" i="4"/>
  <c r="I62" i="4"/>
  <c r="B62" i="4"/>
  <c r="B48" i="4"/>
  <c r="C48" i="4"/>
  <c r="D48" i="4"/>
  <c r="E48" i="4"/>
  <c r="F48" i="4"/>
  <c r="G48" i="4"/>
  <c r="H48" i="4"/>
  <c r="I48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B23" i="4"/>
  <c r="C51" i="4" s="1"/>
  <c r="D23" i="4"/>
  <c r="E51" i="4" s="1"/>
  <c r="E23" i="4"/>
  <c r="F51" i="4" s="1"/>
  <c r="F23" i="4"/>
  <c r="G23" i="4"/>
  <c r="G51" i="4" s="1"/>
  <c r="H23" i="4"/>
  <c r="I51" i="4" s="1"/>
  <c r="B26" i="4"/>
  <c r="C26" i="4"/>
  <c r="D26" i="4"/>
  <c r="E26" i="4"/>
  <c r="F26" i="4"/>
  <c r="G26" i="4"/>
  <c r="H26" i="4"/>
  <c r="B27" i="4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6" i="4"/>
  <c r="C36" i="4"/>
  <c r="D36" i="4"/>
  <c r="E36" i="4"/>
  <c r="F36" i="4"/>
  <c r="G36" i="4"/>
  <c r="H36" i="4"/>
  <c r="B37" i="4"/>
  <c r="C37" i="4"/>
  <c r="C70" i="4" s="1"/>
  <c r="D37" i="4"/>
  <c r="E37" i="4"/>
  <c r="F37" i="4"/>
  <c r="G37" i="4"/>
  <c r="H37" i="4"/>
  <c r="B38" i="4"/>
  <c r="C38" i="4"/>
  <c r="D38" i="4"/>
  <c r="E38" i="4"/>
  <c r="F38" i="4"/>
  <c r="G38" i="4"/>
  <c r="H38" i="4"/>
  <c r="B40" i="4"/>
  <c r="C40" i="4"/>
  <c r="D40" i="4"/>
  <c r="E40" i="4"/>
  <c r="F40" i="4"/>
  <c r="G40" i="4"/>
  <c r="H40" i="4"/>
  <c r="B41" i="4"/>
  <c r="C41" i="4"/>
  <c r="D41" i="4"/>
  <c r="E41" i="4"/>
  <c r="F41" i="4"/>
  <c r="G41" i="4"/>
  <c r="H41" i="4"/>
  <c r="B42" i="4"/>
  <c r="C42" i="4"/>
  <c r="D42" i="4"/>
  <c r="E42" i="4"/>
  <c r="F42" i="4"/>
  <c r="G42" i="4"/>
  <c r="H42" i="4"/>
  <c r="I30" i="4"/>
  <c r="I22" i="4"/>
  <c r="G202" i="3"/>
  <c r="H202" i="3"/>
  <c r="B205" i="3"/>
  <c r="C205" i="3"/>
  <c r="D205" i="3"/>
  <c r="D215" i="3"/>
  <c r="C213" i="3"/>
  <c r="D213" i="3"/>
  <c r="E213" i="3"/>
  <c r="E215" i="3" s="1"/>
  <c r="F213" i="3"/>
  <c r="F215" i="3" s="1"/>
  <c r="G213" i="3"/>
  <c r="G215" i="3" s="1"/>
  <c r="H213" i="3"/>
  <c r="H215" i="3" s="1"/>
  <c r="I213" i="3"/>
  <c r="I215" i="3" s="1"/>
  <c r="B213" i="3"/>
  <c r="B215" i="3" s="1"/>
  <c r="C207" i="3"/>
  <c r="D207" i="3"/>
  <c r="E207" i="3"/>
  <c r="F207" i="3"/>
  <c r="G207" i="3"/>
  <c r="G200" i="3" s="1"/>
  <c r="H207" i="3"/>
  <c r="H200" i="3" s="1"/>
  <c r="I207" i="3"/>
  <c r="I208" i="3" s="1"/>
  <c r="B207" i="3"/>
  <c r="B200" i="3" s="1"/>
  <c r="B181" i="3"/>
  <c r="C203" i="3"/>
  <c r="D203" i="3"/>
  <c r="E203" i="3"/>
  <c r="E205" i="3" s="1"/>
  <c r="F203" i="3"/>
  <c r="G203" i="3"/>
  <c r="H203" i="3"/>
  <c r="I203" i="3"/>
  <c r="I204" i="3" s="1"/>
  <c r="B203" i="3"/>
  <c r="C198" i="3"/>
  <c r="D198" i="3"/>
  <c r="E198" i="3"/>
  <c r="E209" i="3" s="1"/>
  <c r="F198" i="3"/>
  <c r="F199" i="3" s="1"/>
  <c r="G198" i="3"/>
  <c r="G205" i="3" s="1"/>
  <c r="H198" i="3"/>
  <c r="H209" i="3" s="1"/>
  <c r="I198" i="3"/>
  <c r="B198" i="3"/>
  <c r="B199" i="3" s="1"/>
  <c r="B179" i="3"/>
  <c r="C194" i="3"/>
  <c r="C196" i="3" s="1"/>
  <c r="D194" i="3"/>
  <c r="D196" i="3" s="1"/>
  <c r="E194" i="3"/>
  <c r="E196" i="3" s="1"/>
  <c r="F194" i="3"/>
  <c r="F196" i="3" s="1"/>
  <c r="G194" i="3"/>
  <c r="G196" i="3" s="1"/>
  <c r="H194" i="3"/>
  <c r="H195" i="3" s="1"/>
  <c r="I194" i="3"/>
  <c r="B194" i="3"/>
  <c r="C191" i="3"/>
  <c r="D191" i="3"/>
  <c r="E191" i="3"/>
  <c r="F191" i="3"/>
  <c r="G191" i="3"/>
  <c r="H191" i="3"/>
  <c r="I191" i="3"/>
  <c r="B191" i="3"/>
  <c r="C188" i="3"/>
  <c r="D188" i="3"/>
  <c r="D190" i="3" s="1"/>
  <c r="E188" i="3"/>
  <c r="E190" i="3" s="1"/>
  <c r="F188" i="3"/>
  <c r="F190" i="3" s="1"/>
  <c r="G188" i="3"/>
  <c r="G181" i="3" s="1"/>
  <c r="H188" i="3"/>
  <c r="H181" i="3" s="1"/>
  <c r="H182" i="3" s="1"/>
  <c r="I188" i="3"/>
  <c r="I181" i="3" s="1"/>
  <c r="I183" i="3" s="1"/>
  <c r="B188" i="3"/>
  <c r="C184" i="3"/>
  <c r="D184" i="3"/>
  <c r="D186" i="3" s="1"/>
  <c r="E184" i="3"/>
  <c r="F184" i="3"/>
  <c r="G184" i="3"/>
  <c r="H184" i="3"/>
  <c r="I184" i="3"/>
  <c r="B184" i="3"/>
  <c r="C179" i="3"/>
  <c r="C193" i="3" s="1"/>
  <c r="D179" i="3"/>
  <c r="D193" i="3" s="1"/>
  <c r="E179" i="3"/>
  <c r="F179" i="3"/>
  <c r="G179" i="3"/>
  <c r="H179" i="3"/>
  <c r="H180" i="3" s="1"/>
  <c r="I179" i="3"/>
  <c r="I193" i="3" s="1"/>
  <c r="J193" i="3" s="1"/>
  <c r="B180" i="3"/>
  <c r="G208" i="3"/>
  <c r="H204" i="3"/>
  <c r="G204" i="3"/>
  <c r="D204" i="3"/>
  <c r="C204" i="3"/>
  <c r="B204" i="3"/>
  <c r="I200" i="3"/>
  <c r="G199" i="3"/>
  <c r="G192" i="3"/>
  <c r="H192" i="3"/>
  <c r="I192" i="3"/>
  <c r="F185" i="3"/>
  <c r="G185" i="3"/>
  <c r="B54" i="4"/>
  <c r="C50" i="4"/>
  <c r="D50" i="4"/>
  <c r="E50" i="4"/>
  <c r="F50" i="4"/>
  <c r="G50" i="4"/>
  <c r="H50" i="4"/>
  <c r="I50" i="4"/>
  <c r="B50" i="4"/>
  <c r="C59" i="4"/>
  <c r="D59" i="4"/>
  <c r="E59" i="4"/>
  <c r="F59" i="4"/>
  <c r="G59" i="4"/>
  <c r="H59" i="4"/>
  <c r="I59" i="4"/>
  <c r="B59" i="4"/>
  <c r="B60" i="4" s="1"/>
  <c r="C65" i="4"/>
  <c r="D65" i="4"/>
  <c r="E65" i="4"/>
  <c r="F65" i="4"/>
  <c r="G65" i="4"/>
  <c r="H65" i="4"/>
  <c r="I65" i="4"/>
  <c r="B65" i="4"/>
  <c r="B67" i="4"/>
  <c r="C52" i="4"/>
  <c r="C57" i="4" s="1"/>
  <c r="C58" i="4" s="1"/>
  <c r="D52" i="4"/>
  <c r="D57" i="4" s="1"/>
  <c r="D58" i="4" s="1"/>
  <c r="E52" i="4"/>
  <c r="E57" i="4" s="1"/>
  <c r="E58" i="4" s="1"/>
  <c r="F52" i="4"/>
  <c r="F57" i="4" s="1"/>
  <c r="F58" i="4" s="1"/>
  <c r="G52" i="4"/>
  <c r="G57" i="4" s="1"/>
  <c r="G58" i="4" s="1"/>
  <c r="H52" i="4"/>
  <c r="H57" i="4" s="1"/>
  <c r="H58" i="4" s="1"/>
  <c r="I52" i="4"/>
  <c r="I57" i="4" s="1"/>
  <c r="I58" i="4" s="1"/>
  <c r="B52" i="4"/>
  <c r="B57" i="4" s="1"/>
  <c r="B58" i="4" s="1"/>
  <c r="B61" i="4"/>
  <c r="C61" i="4"/>
  <c r="D61" i="4"/>
  <c r="E61" i="4"/>
  <c r="F61" i="4"/>
  <c r="G61" i="4"/>
  <c r="H61" i="4"/>
  <c r="I61" i="4"/>
  <c r="C16" i="4"/>
  <c r="D16" i="4"/>
  <c r="E16" i="4"/>
  <c r="F16" i="4"/>
  <c r="G16" i="4"/>
  <c r="H16" i="4"/>
  <c r="I16" i="4"/>
  <c r="B16" i="4"/>
  <c r="B15" i="4"/>
  <c r="B17" i="4" s="1"/>
  <c r="C177" i="3"/>
  <c r="D177" i="3"/>
  <c r="C171" i="1"/>
  <c r="C176" i="3"/>
  <c r="D176" i="3"/>
  <c r="C175" i="3"/>
  <c r="D175" i="3"/>
  <c r="B175" i="3"/>
  <c r="C174" i="3"/>
  <c r="D174" i="3"/>
  <c r="D173" i="3" s="1"/>
  <c r="C173" i="3"/>
  <c r="I168" i="3"/>
  <c r="H168" i="3"/>
  <c r="G168" i="3"/>
  <c r="F168" i="3"/>
  <c r="E168" i="3"/>
  <c r="D168" i="3"/>
  <c r="C168" i="3"/>
  <c r="C17" i="3" s="1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F38" i="3"/>
  <c r="E38" i="3"/>
  <c r="E8" i="3" s="1"/>
  <c r="D38" i="3"/>
  <c r="D8" i="3" s="1"/>
  <c r="C38" i="3"/>
  <c r="C8" i="3" s="1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A20" i="3"/>
  <c r="F63" i="4" l="1"/>
  <c r="F64" i="4" s="1"/>
  <c r="C63" i="4"/>
  <c r="D51" i="4"/>
  <c r="I63" i="4"/>
  <c r="H31" i="4"/>
  <c r="H51" i="4"/>
  <c r="H70" i="4"/>
  <c r="H63" i="4"/>
  <c r="H64" i="4" s="1"/>
  <c r="F31" i="4"/>
  <c r="G31" i="4"/>
  <c r="G63" i="4"/>
  <c r="F70" i="4"/>
  <c r="E31" i="4"/>
  <c r="E70" i="4"/>
  <c r="D31" i="4"/>
  <c r="E60" i="4"/>
  <c r="D70" i="4"/>
  <c r="C31" i="4"/>
  <c r="D63" i="4"/>
  <c r="C32" i="4"/>
  <c r="C43" i="4" s="1"/>
  <c r="B31" i="4"/>
  <c r="B70" i="4"/>
  <c r="G32" i="4"/>
  <c r="G43" i="4" s="1"/>
  <c r="G39" i="4"/>
  <c r="F39" i="4"/>
  <c r="E39" i="4"/>
  <c r="D32" i="4"/>
  <c r="B63" i="4"/>
  <c r="D39" i="4"/>
  <c r="G70" i="4"/>
  <c r="E32" i="4"/>
  <c r="C39" i="4"/>
  <c r="H32" i="4"/>
  <c r="B51" i="4"/>
  <c r="H39" i="4"/>
  <c r="F32" i="4"/>
  <c r="B39" i="4"/>
  <c r="E63" i="4"/>
  <c r="E64" i="4" s="1"/>
  <c r="B32" i="4"/>
  <c r="B43" i="4"/>
  <c r="B214" i="3"/>
  <c r="J198" i="3"/>
  <c r="I209" i="3"/>
  <c r="I205" i="3"/>
  <c r="I8" i="3"/>
  <c r="H193" i="3"/>
  <c r="E181" i="3"/>
  <c r="E182" i="3" s="1"/>
  <c r="F181" i="3"/>
  <c r="F182" i="3" s="1"/>
  <c r="I180" i="3"/>
  <c r="I17" i="3"/>
  <c r="H205" i="3"/>
  <c r="I190" i="3"/>
  <c r="H190" i="3"/>
  <c r="G8" i="3"/>
  <c r="G190" i="3"/>
  <c r="D17" i="3"/>
  <c r="E17" i="3"/>
  <c r="G193" i="3"/>
  <c r="G186" i="3"/>
  <c r="C190" i="3"/>
  <c r="C181" i="3"/>
  <c r="C182" i="3" s="1"/>
  <c r="D181" i="3"/>
  <c r="D182" i="3" s="1"/>
  <c r="F186" i="3"/>
  <c r="F193" i="3"/>
  <c r="B202" i="3"/>
  <c r="G17" i="3"/>
  <c r="E186" i="3"/>
  <c r="E193" i="3"/>
  <c r="H17" i="3"/>
  <c r="H8" i="3"/>
  <c r="H199" i="3"/>
  <c r="F17" i="3"/>
  <c r="I199" i="3"/>
  <c r="B206" i="3"/>
  <c r="G180" i="3"/>
  <c r="F8" i="3"/>
  <c r="F180" i="3"/>
  <c r="I202" i="3"/>
  <c r="E204" i="3"/>
  <c r="E199" i="3"/>
  <c r="I195" i="3"/>
  <c r="H196" i="3"/>
  <c r="F204" i="3"/>
  <c r="C199" i="3"/>
  <c r="F209" i="3"/>
  <c r="D209" i="3"/>
  <c r="C209" i="3"/>
  <c r="B209" i="3"/>
  <c r="G209" i="3"/>
  <c r="B208" i="3"/>
  <c r="C215" i="3"/>
  <c r="F205" i="3"/>
  <c r="F60" i="4"/>
  <c r="I60" i="4"/>
  <c r="C206" i="3"/>
  <c r="H208" i="3"/>
  <c r="D199" i="3"/>
  <c r="I187" i="3"/>
  <c r="J187" i="3" s="1"/>
  <c r="K187" i="3" s="1"/>
  <c r="L187" i="3" s="1"/>
  <c r="M187" i="3" s="1"/>
  <c r="N187" i="3" s="1"/>
  <c r="I196" i="3"/>
  <c r="C186" i="3"/>
  <c r="H186" i="3"/>
  <c r="B182" i="3"/>
  <c r="E180" i="3"/>
  <c r="I186" i="3"/>
  <c r="J202" i="3"/>
  <c r="K202" i="3" s="1"/>
  <c r="B193" i="3"/>
  <c r="B186" i="3"/>
  <c r="B196" i="3"/>
  <c r="B190" i="3"/>
  <c r="F214" i="3"/>
  <c r="F206" i="3"/>
  <c r="G214" i="3"/>
  <c r="G206" i="3"/>
  <c r="H201" i="3"/>
  <c r="H206" i="3"/>
  <c r="I201" i="3"/>
  <c r="I206" i="3"/>
  <c r="J206" i="3" s="1"/>
  <c r="K206" i="3" s="1"/>
  <c r="L206" i="3" s="1"/>
  <c r="M206" i="3" s="1"/>
  <c r="N206" i="3" s="1"/>
  <c r="J215" i="3"/>
  <c r="H214" i="3"/>
  <c r="I214" i="3"/>
  <c r="C208" i="3"/>
  <c r="D208" i="3"/>
  <c r="E208" i="3"/>
  <c r="B201" i="3"/>
  <c r="C200" i="3"/>
  <c r="C202" i="3" s="1"/>
  <c r="C214" i="3"/>
  <c r="E200" i="3"/>
  <c r="E202" i="3" s="1"/>
  <c r="D214" i="3"/>
  <c r="D206" i="3"/>
  <c r="F200" i="3"/>
  <c r="F202" i="3" s="1"/>
  <c r="F208" i="3"/>
  <c r="E214" i="3"/>
  <c r="E206" i="3"/>
  <c r="D200" i="3"/>
  <c r="D202" i="3" s="1"/>
  <c r="J179" i="3"/>
  <c r="K179" i="3" s="1"/>
  <c r="I185" i="3"/>
  <c r="J183" i="3"/>
  <c r="K183" i="3" s="1"/>
  <c r="L183" i="3" s="1"/>
  <c r="M183" i="3" s="1"/>
  <c r="N183" i="3" s="1"/>
  <c r="K193" i="3"/>
  <c r="L193" i="3" s="1"/>
  <c r="M193" i="3" s="1"/>
  <c r="N193" i="3" s="1"/>
  <c r="F189" i="3"/>
  <c r="H187" i="3"/>
  <c r="H185" i="3"/>
  <c r="F183" i="3"/>
  <c r="G183" i="3"/>
  <c r="G189" i="3"/>
  <c r="H189" i="3"/>
  <c r="I189" i="3"/>
  <c r="D185" i="3"/>
  <c r="E185" i="3"/>
  <c r="H183" i="3"/>
  <c r="B185" i="3"/>
  <c r="C185" i="3"/>
  <c r="C180" i="3"/>
  <c r="D180" i="3"/>
  <c r="B195" i="3"/>
  <c r="B187" i="3"/>
  <c r="C187" i="3"/>
  <c r="C195" i="3"/>
  <c r="D195" i="3"/>
  <c r="D187" i="3"/>
  <c r="E195" i="3"/>
  <c r="E187" i="3"/>
  <c r="F187" i="3"/>
  <c r="F195" i="3"/>
  <c r="B192" i="3"/>
  <c r="G195" i="3"/>
  <c r="C192" i="3"/>
  <c r="D192" i="3"/>
  <c r="E192" i="3"/>
  <c r="B189" i="3"/>
  <c r="F192" i="3"/>
  <c r="C189" i="3"/>
  <c r="D189" i="3"/>
  <c r="E189" i="3"/>
  <c r="J196" i="3"/>
  <c r="J194" i="3" s="1"/>
  <c r="J184" i="3" s="1"/>
  <c r="J186" i="3" s="1"/>
  <c r="G187" i="3"/>
  <c r="G60" i="4"/>
  <c r="C60" i="4"/>
  <c r="I64" i="4"/>
  <c r="H60" i="4"/>
  <c r="G64" i="4"/>
  <c r="D60" i="4"/>
  <c r="F43" i="4" l="1"/>
  <c r="D43" i="4"/>
  <c r="H43" i="4"/>
  <c r="E43" i="4"/>
  <c r="K198" i="3"/>
  <c r="J199" i="3"/>
  <c r="G182" i="3"/>
  <c r="E183" i="3"/>
  <c r="J200" i="3"/>
  <c r="J201" i="3" s="1"/>
  <c r="J181" i="3"/>
  <c r="F201" i="3"/>
  <c r="K215" i="3"/>
  <c r="J214" i="3"/>
  <c r="J213" i="3"/>
  <c r="J203" i="3" s="1"/>
  <c r="J205" i="3" s="1"/>
  <c r="E201" i="3"/>
  <c r="C201" i="3"/>
  <c r="G201" i="3"/>
  <c r="D201" i="3"/>
  <c r="L202" i="3"/>
  <c r="K200" i="3"/>
  <c r="J191" i="3"/>
  <c r="J192" i="3" s="1"/>
  <c r="J180" i="3"/>
  <c r="I182" i="3"/>
  <c r="D183" i="3"/>
  <c r="K180" i="3"/>
  <c r="K191" i="3"/>
  <c r="K192" i="3" s="1"/>
  <c r="K181" i="3"/>
  <c r="L179" i="3"/>
  <c r="K196" i="3"/>
  <c r="J195" i="3"/>
  <c r="J182" i="3"/>
  <c r="J188" i="3"/>
  <c r="J185" i="3"/>
  <c r="C183" i="3"/>
  <c r="B183" i="3"/>
  <c r="I42" i="4"/>
  <c r="I40" i="4"/>
  <c r="I38" i="4"/>
  <c r="I41" i="4"/>
  <c r="I33" i="4"/>
  <c r="I34" i="4"/>
  <c r="I36" i="4"/>
  <c r="I37" i="4"/>
  <c r="I27" i="4"/>
  <c r="I26" i="4"/>
  <c r="I28" i="4"/>
  <c r="I29" i="4"/>
  <c r="I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6" i="4"/>
  <c r="C47" i="4" s="1"/>
  <c r="D6" i="4"/>
  <c r="D47" i="4" s="1"/>
  <c r="I31" i="4" l="1"/>
  <c r="I32" i="4"/>
  <c r="I70" i="4"/>
  <c r="I39" i="4"/>
  <c r="L198" i="3"/>
  <c r="L200" i="3" s="1"/>
  <c r="K199" i="3"/>
  <c r="J204" i="3"/>
  <c r="L215" i="3"/>
  <c r="K214" i="3"/>
  <c r="K213" i="3"/>
  <c r="K203" i="3" s="1"/>
  <c r="K205" i="3" s="1"/>
  <c r="K201" i="3"/>
  <c r="K207" i="3"/>
  <c r="M202" i="3"/>
  <c r="J207" i="3"/>
  <c r="L196" i="3"/>
  <c r="L194" i="3" s="1"/>
  <c r="L184" i="3" s="1"/>
  <c r="L186" i="3" s="1"/>
  <c r="K195" i="3"/>
  <c r="L191" i="3"/>
  <c r="L192" i="3" s="1"/>
  <c r="L180" i="3"/>
  <c r="L181" i="3"/>
  <c r="M179" i="3"/>
  <c r="K182" i="3"/>
  <c r="K194" i="3"/>
  <c r="K184" i="3" s="1"/>
  <c r="K186" i="3" s="1"/>
  <c r="J189" i="3"/>
  <c r="E44" i="4"/>
  <c r="I43" i="4" l="1"/>
  <c r="I44" i="4" s="1"/>
  <c r="D44" i="4"/>
  <c r="C44" i="4"/>
  <c r="B44" i="4"/>
  <c r="F44" i="4"/>
  <c r="G44" i="4"/>
  <c r="L199" i="3"/>
  <c r="M198" i="3"/>
  <c r="H44" i="4"/>
  <c r="J208" i="3"/>
  <c r="L201" i="3"/>
  <c r="N202" i="3"/>
  <c r="M200" i="3"/>
  <c r="K208" i="3"/>
  <c r="K204" i="3"/>
  <c r="M215" i="3"/>
  <c r="L214" i="3"/>
  <c r="L213" i="3"/>
  <c r="L203" i="3" s="1"/>
  <c r="L205" i="3" s="1"/>
  <c r="M180" i="3"/>
  <c r="M191" i="3"/>
  <c r="M192" i="3" s="1"/>
  <c r="M181" i="3"/>
  <c r="N179" i="3"/>
  <c r="L185" i="3"/>
  <c r="M196" i="3"/>
  <c r="L195" i="3"/>
  <c r="K185" i="3"/>
  <c r="K188" i="3"/>
  <c r="L182" i="3"/>
  <c r="L188" i="3"/>
  <c r="C169" i="3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H149" i="3"/>
  <c r="G149" i="3"/>
  <c r="F149" i="3"/>
  <c r="E149" i="3"/>
  <c r="I148" i="3"/>
  <c r="H148" i="3"/>
  <c r="G148" i="3"/>
  <c r="F148" i="3"/>
  <c r="E148" i="3"/>
  <c r="D148" i="3"/>
  <c r="C148" i="3"/>
  <c r="B148" i="3"/>
  <c r="I145" i="3"/>
  <c r="H145" i="3"/>
  <c r="C145" i="3"/>
  <c r="B145" i="3"/>
  <c r="E145" i="3"/>
  <c r="H143" i="3"/>
  <c r="G143" i="3"/>
  <c r="F143" i="3"/>
  <c r="H142" i="3"/>
  <c r="G142" i="3"/>
  <c r="H140" i="3"/>
  <c r="D140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E134" i="3"/>
  <c r="N131" i="3"/>
  <c r="M131" i="3"/>
  <c r="L131" i="3"/>
  <c r="K131" i="3"/>
  <c r="J131" i="3"/>
  <c r="H130" i="3"/>
  <c r="G130" i="3"/>
  <c r="F130" i="3"/>
  <c r="E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K122" i="3" s="1"/>
  <c r="L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F115" i="3"/>
  <c r="E115" i="3"/>
  <c r="D115" i="3"/>
  <c r="C115" i="3"/>
  <c r="B115" i="3"/>
  <c r="G115" i="3"/>
  <c r="C116" i="3"/>
  <c r="E112" i="3"/>
  <c r="D112" i="3"/>
  <c r="C112" i="3"/>
  <c r="B112" i="3"/>
  <c r="F112" i="3"/>
  <c r="H109" i="3"/>
  <c r="G109" i="3"/>
  <c r="F109" i="3"/>
  <c r="D109" i="3"/>
  <c r="C109" i="3"/>
  <c r="B109" i="3"/>
  <c r="G107" i="3"/>
  <c r="F107" i="3"/>
  <c r="E107" i="3"/>
  <c r="D107" i="3"/>
  <c r="C107" i="3"/>
  <c r="I105" i="3"/>
  <c r="H105" i="3"/>
  <c r="G105" i="3"/>
  <c r="F105" i="3"/>
  <c r="E105" i="3"/>
  <c r="D105" i="3"/>
  <c r="H107" i="3"/>
  <c r="B105" i="3"/>
  <c r="I101" i="3"/>
  <c r="D101" i="3"/>
  <c r="B101" i="3"/>
  <c r="B102" i="3" s="1"/>
  <c r="N98" i="3"/>
  <c r="M98" i="3"/>
  <c r="L98" i="3"/>
  <c r="K98" i="3"/>
  <c r="J98" i="3"/>
  <c r="I97" i="3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H83" i="3"/>
  <c r="G83" i="3"/>
  <c r="D83" i="3"/>
  <c r="C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D80" i="3"/>
  <c r="I79" i="3"/>
  <c r="E79" i="3"/>
  <c r="D79" i="3"/>
  <c r="C79" i="3"/>
  <c r="B79" i="3"/>
  <c r="I77" i="3"/>
  <c r="H77" i="3"/>
  <c r="G77" i="3"/>
  <c r="D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B49" i="3"/>
  <c r="C49" i="3"/>
  <c r="I46" i="3"/>
  <c r="H46" i="3"/>
  <c r="F46" i="3"/>
  <c r="D46" i="3"/>
  <c r="C46" i="3"/>
  <c r="B46" i="3"/>
  <c r="F44" i="3"/>
  <c r="F43" i="3"/>
  <c r="E43" i="3"/>
  <c r="D43" i="3"/>
  <c r="F35" i="3"/>
  <c r="B43" i="3"/>
  <c r="B41" i="3"/>
  <c r="I40" i="3"/>
  <c r="F40" i="3"/>
  <c r="H39" i="3"/>
  <c r="G39" i="3"/>
  <c r="B39" i="3"/>
  <c r="G41" i="3"/>
  <c r="D35" i="3"/>
  <c r="C35" i="3"/>
  <c r="H35" i="3"/>
  <c r="K34" i="3"/>
  <c r="L34" i="3" s="1"/>
  <c r="K33" i="3"/>
  <c r="L33" i="3" s="1"/>
  <c r="M33" i="3" s="1"/>
  <c r="N33" i="3" s="1"/>
  <c r="J32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I24" i="3"/>
  <c r="I26" i="3" s="1"/>
  <c r="J23" i="3"/>
  <c r="F24" i="3"/>
  <c r="F26" i="3" s="1"/>
  <c r="B24" i="3"/>
  <c r="B26" i="3" s="1"/>
  <c r="D18" i="3"/>
  <c r="D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200" i="1"/>
  <c r="E201" i="1" s="1"/>
  <c r="I197" i="1"/>
  <c r="I200" i="1" s="1"/>
  <c r="I201" i="1" s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5" i="1"/>
  <c r="B174" i="3" s="1"/>
  <c r="H187" i="1"/>
  <c r="I185" i="1"/>
  <c r="I187" i="1" s="1"/>
  <c r="I210" i="3" s="1"/>
  <c r="H185" i="1"/>
  <c r="G185" i="1"/>
  <c r="G187" i="1" s="1"/>
  <c r="F185" i="1"/>
  <c r="F187" i="1" s="1"/>
  <c r="E185" i="1"/>
  <c r="E187" i="1" s="1"/>
  <c r="D185" i="1"/>
  <c r="D187" i="1" s="1"/>
  <c r="C185" i="1"/>
  <c r="C187" i="1" s="1"/>
  <c r="B183" i="1"/>
  <c r="I173" i="1"/>
  <c r="I176" i="1" s="1"/>
  <c r="I177" i="1" s="1"/>
  <c r="H173" i="1"/>
  <c r="H176" i="1" s="1"/>
  <c r="H177" i="1" s="1"/>
  <c r="G173" i="1"/>
  <c r="G176" i="1" s="1"/>
  <c r="G177" i="1" s="1"/>
  <c r="F173" i="1"/>
  <c r="F176" i="1" s="1"/>
  <c r="F177" i="1" s="1"/>
  <c r="E173" i="1"/>
  <c r="E176" i="1" s="1"/>
  <c r="E177" i="1" s="1"/>
  <c r="D173" i="1"/>
  <c r="D176" i="1" s="1"/>
  <c r="D177" i="1" s="1"/>
  <c r="C173" i="1"/>
  <c r="C176" i="1" s="1"/>
  <c r="C177" i="1" s="1"/>
  <c r="B171" i="1"/>
  <c r="I161" i="1"/>
  <c r="H161" i="1"/>
  <c r="G161" i="1"/>
  <c r="F161" i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H121" i="1"/>
  <c r="H118" i="3" s="1"/>
  <c r="H119" i="3" s="1"/>
  <c r="H121" i="3" s="1"/>
  <c r="G121" i="1"/>
  <c r="G118" i="3" s="1"/>
  <c r="G119" i="3" s="1"/>
  <c r="G121" i="3" s="1"/>
  <c r="F121" i="1"/>
  <c r="F118" i="3" s="1"/>
  <c r="F139" i="3" s="1"/>
  <c r="E121" i="1"/>
  <c r="E118" i="3" s="1"/>
  <c r="E146" i="3" s="1"/>
  <c r="D121" i="1"/>
  <c r="C121" i="1"/>
  <c r="C118" i="3" s="1"/>
  <c r="C139" i="3" s="1"/>
  <c r="B121" i="1"/>
  <c r="B118" i="3" s="1"/>
  <c r="B119" i="3" s="1"/>
  <c r="B121" i="3" s="1"/>
  <c r="I117" i="1"/>
  <c r="I85" i="3" s="1"/>
  <c r="I116" i="3" s="1"/>
  <c r="J116" i="3" s="1"/>
  <c r="H117" i="1"/>
  <c r="H85" i="3" s="1"/>
  <c r="H97" i="3" s="1"/>
  <c r="G117" i="1"/>
  <c r="G85" i="3" s="1"/>
  <c r="G116" i="3" s="1"/>
  <c r="F117" i="1"/>
  <c r="F85" i="3" s="1"/>
  <c r="F116" i="3" s="1"/>
  <c r="E117" i="1"/>
  <c r="E85" i="3" s="1"/>
  <c r="E116" i="3" s="1"/>
  <c r="D117" i="1"/>
  <c r="D85" i="3" s="1"/>
  <c r="D86" i="3" s="1"/>
  <c r="D88" i="3" s="1"/>
  <c r="C117" i="1"/>
  <c r="C85" i="3" s="1"/>
  <c r="C113" i="3" s="1"/>
  <c r="B117" i="1"/>
  <c r="B85" i="3" s="1"/>
  <c r="B116" i="3" s="1"/>
  <c r="I113" i="1"/>
  <c r="I52" i="3" s="1"/>
  <c r="H113" i="1"/>
  <c r="H52" i="3" s="1"/>
  <c r="G113" i="1"/>
  <c r="G52" i="3" s="1"/>
  <c r="F113" i="1"/>
  <c r="E113" i="1"/>
  <c r="D113" i="1"/>
  <c r="D52" i="3" s="1"/>
  <c r="C113" i="1"/>
  <c r="C52" i="3" s="1"/>
  <c r="C77" i="3" s="1"/>
  <c r="B113" i="1"/>
  <c r="B52" i="3" s="1"/>
  <c r="B83" i="3" s="1"/>
  <c r="I109" i="1"/>
  <c r="I21" i="3" s="1"/>
  <c r="H109" i="1"/>
  <c r="G109" i="1"/>
  <c r="F109" i="1"/>
  <c r="F21" i="3" s="1"/>
  <c r="F31" i="3" s="1"/>
  <c r="E109" i="1"/>
  <c r="E21" i="3" s="1"/>
  <c r="D109" i="1"/>
  <c r="D21" i="3" s="1"/>
  <c r="C109" i="1"/>
  <c r="C21" i="3" s="1"/>
  <c r="B109" i="1"/>
  <c r="I94" i="1"/>
  <c r="H94" i="1"/>
  <c r="G94" i="1"/>
  <c r="F94" i="1"/>
  <c r="E94" i="1"/>
  <c r="D93" i="1"/>
  <c r="C93" i="1"/>
  <c r="C64" i="4" s="1"/>
  <c r="B93" i="1"/>
  <c r="B64" i="4" s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C59" i="1" s="1"/>
  <c r="B45" i="1"/>
  <c r="B59" i="1" s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E11" i="4" s="1"/>
  <c r="D4" i="1"/>
  <c r="D10" i="1" s="1"/>
  <c r="D11" i="4" s="1"/>
  <c r="C4" i="1"/>
  <c r="C10" i="1" s="1"/>
  <c r="B4" i="1"/>
  <c r="H1" i="1"/>
  <c r="G1" i="1" s="1"/>
  <c r="F1" i="1" s="1"/>
  <c r="E1" i="1" s="1"/>
  <c r="D1" i="1" s="1"/>
  <c r="C1" i="1" s="1"/>
  <c r="B1" i="1" s="1"/>
  <c r="G188" i="1" l="1"/>
  <c r="G189" i="1" s="1"/>
  <c r="G210" i="3"/>
  <c r="F12" i="1"/>
  <c r="F11" i="4"/>
  <c r="G12" i="1"/>
  <c r="G11" i="4"/>
  <c r="I12" i="1"/>
  <c r="I64" i="1" s="1"/>
  <c r="I11" i="4"/>
  <c r="B173" i="1"/>
  <c r="B176" i="1" s="1"/>
  <c r="B177" i="1" s="1"/>
  <c r="B177" i="3"/>
  <c r="B17" i="3" s="1"/>
  <c r="D14" i="4"/>
  <c r="D19" i="4" s="1"/>
  <c r="D13" i="4"/>
  <c r="B21" i="3"/>
  <c r="B31" i="3" s="1"/>
  <c r="B32" i="3" s="1"/>
  <c r="B34" i="3" s="1"/>
  <c r="B142" i="1"/>
  <c r="B149" i="1" s="1"/>
  <c r="E3" i="3"/>
  <c r="D103" i="3"/>
  <c r="H142" i="1"/>
  <c r="H149" i="1" s="1"/>
  <c r="H150" i="1" s="1"/>
  <c r="H21" i="3"/>
  <c r="C119" i="3"/>
  <c r="C121" i="3" s="1"/>
  <c r="G146" i="3"/>
  <c r="H188" i="1"/>
  <c r="H189" i="1" s="1"/>
  <c r="H210" i="3"/>
  <c r="B86" i="3"/>
  <c r="B88" i="3" s="1"/>
  <c r="G142" i="1"/>
  <c r="G149" i="1" s="1"/>
  <c r="G150" i="1" s="1"/>
  <c r="G21" i="3"/>
  <c r="E86" i="3"/>
  <c r="E88" i="3" s="1"/>
  <c r="F146" i="3"/>
  <c r="B97" i="3"/>
  <c r="B98" i="3" s="1"/>
  <c r="B100" i="3" s="1"/>
  <c r="G139" i="3"/>
  <c r="H146" i="3"/>
  <c r="G36" i="1"/>
  <c r="D47" i="3"/>
  <c r="I3" i="3"/>
  <c r="I22" i="3"/>
  <c r="D50" i="3"/>
  <c r="E139" i="3"/>
  <c r="F188" i="1"/>
  <c r="F189" i="1" s="1"/>
  <c r="F210" i="3"/>
  <c r="C97" i="3"/>
  <c r="H139" i="3"/>
  <c r="N198" i="3"/>
  <c r="M199" i="3"/>
  <c r="B173" i="3"/>
  <c r="B8" i="3"/>
  <c r="C86" i="3"/>
  <c r="C88" i="3" s="1"/>
  <c r="H59" i="1"/>
  <c r="H60" i="1" s="1"/>
  <c r="B164" i="1"/>
  <c r="B165" i="1" s="1"/>
  <c r="E97" i="3"/>
  <c r="F98" i="3" s="1"/>
  <c r="F100" i="3" s="1"/>
  <c r="F119" i="3"/>
  <c r="F121" i="3" s="1"/>
  <c r="D36" i="1"/>
  <c r="D60" i="1" s="1"/>
  <c r="C5" i="3"/>
  <c r="C11" i="3" s="1"/>
  <c r="F36" i="1"/>
  <c r="B197" i="1"/>
  <c r="B200" i="1" s="1"/>
  <c r="B201" i="1" s="1"/>
  <c r="H36" i="1"/>
  <c r="E113" i="3"/>
  <c r="H116" i="3"/>
  <c r="B185" i="1"/>
  <c r="B187" i="1" s="1"/>
  <c r="B210" i="3" s="1"/>
  <c r="B176" i="3"/>
  <c r="B14" i="3" s="1"/>
  <c r="C110" i="3"/>
  <c r="F164" i="1"/>
  <c r="F165" i="1" s="1"/>
  <c r="G164" i="1"/>
  <c r="G165" i="1" s="1"/>
  <c r="H164" i="1"/>
  <c r="H165" i="1" s="1"/>
  <c r="F142" i="1"/>
  <c r="F149" i="1" s="1"/>
  <c r="F150" i="1" s="1"/>
  <c r="F52" i="3"/>
  <c r="F3" i="3" s="1"/>
  <c r="C73" i="3"/>
  <c r="B94" i="1"/>
  <c r="C172" i="3"/>
  <c r="C164" i="1"/>
  <c r="B53" i="3"/>
  <c r="B55" i="3" s="1"/>
  <c r="F97" i="3"/>
  <c r="B106" i="3"/>
  <c r="B113" i="3"/>
  <c r="C12" i="1"/>
  <c r="C11" i="4"/>
  <c r="I36" i="1"/>
  <c r="N200" i="3"/>
  <c r="D142" i="1"/>
  <c r="D149" i="1" s="1"/>
  <c r="D150" i="1" s="1"/>
  <c r="D118" i="3"/>
  <c r="B110" i="3"/>
  <c r="G59" i="1"/>
  <c r="G60" i="1" s="1"/>
  <c r="D188" i="1"/>
  <c r="D189" i="1" s="1"/>
  <c r="D210" i="3"/>
  <c r="E31" i="3"/>
  <c r="E32" i="3" s="1"/>
  <c r="E34" i="3" s="1"/>
  <c r="E50" i="3"/>
  <c r="I142" i="1"/>
  <c r="I149" i="1" s="1"/>
  <c r="B150" i="1" s="1"/>
  <c r="I118" i="3"/>
  <c r="D164" i="1"/>
  <c r="C53" i="3"/>
  <c r="C55" i="3" s="1"/>
  <c r="G97" i="3"/>
  <c r="H98" i="3" s="1"/>
  <c r="H100" i="3" s="1"/>
  <c r="C106" i="3"/>
  <c r="E136" i="3"/>
  <c r="E36" i="1"/>
  <c r="E60" i="1" s="1"/>
  <c r="E13" i="4"/>
  <c r="E14" i="4"/>
  <c r="E19" i="4" s="1"/>
  <c r="H12" i="1"/>
  <c r="H20" i="1" s="1"/>
  <c r="H11" i="4"/>
  <c r="C3" i="3"/>
  <c r="B139" i="3"/>
  <c r="C31" i="3"/>
  <c r="F59" i="1"/>
  <c r="F60" i="1" s="1"/>
  <c r="C188" i="1"/>
  <c r="C189" i="1" s="1"/>
  <c r="C210" i="3"/>
  <c r="D31" i="3"/>
  <c r="D32" i="3" s="1"/>
  <c r="D34" i="3" s="1"/>
  <c r="E188" i="1"/>
  <c r="E189" i="1" s="1"/>
  <c r="E210" i="3"/>
  <c r="F50" i="3"/>
  <c r="I59" i="1"/>
  <c r="E142" i="1"/>
  <c r="E149" i="1" s="1"/>
  <c r="E150" i="1" s="1"/>
  <c r="E52" i="3"/>
  <c r="I164" i="1"/>
  <c r="D94" i="1"/>
  <c r="D64" i="4"/>
  <c r="B172" i="3"/>
  <c r="B36" i="1"/>
  <c r="C94" i="1"/>
  <c r="D172" i="3"/>
  <c r="I212" i="3"/>
  <c r="J212" i="3" s="1"/>
  <c r="I211" i="3"/>
  <c r="I14" i="3"/>
  <c r="B77" i="3"/>
  <c r="B10" i="1"/>
  <c r="C36" i="1"/>
  <c r="E164" i="1"/>
  <c r="C44" i="3"/>
  <c r="F136" i="3"/>
  <c r="L204" i="3"/>
  <c r="N215" i="3"/>
  <c r="M214" i="3"/>
  <c r="M213" i="3"/>
  <c r="M203" i="3" s="1"/>
  <c r="M205" i="3" s="1"/>
  <c r="M201" i="3"/>
  <c r="M207" i="3"/>
  <c r="N201" i="3"/>
  <c r="L207" i="3"/>
  <c r="N196" i="3"/>
  <c r="N195" i="3" s="1"/>
  <c r="M195" i="3"/>
  <c r="N191" i="3"/>
  <c r="N192" i="3" s="1"/>
  <c r="N180" i="3"/>
  <c r="N181" i="3"/>
  <c r="M182" i="3"/>
  <c r="M194" i="3"/>
  <c r="M184" i="3" s="1"/>
  <c r="M186" i="3" s="1"/>
  <c r="L189" i="3"/>
  <c r="K189" i="3"/>
  <c r="F37" i="3"/>
  <c r="H37" i="3"/>
  <c r="M122" i="3"/>
  <c r="N122" i="3" s="1"/>
  <c r="H135" i="3"/>
  <c r="K56" i="3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G98" i="3"/>
  <c r="G100" i="3" s="1"/>
  <c r="J152" i="3"/>
  <c r="B103" i="3"/>
  <c r="J115" i="3"/>
  <c r="K116" i="3"/>
  <c r="C37" i="3"/>
  <c r="D37" i="3"/>
  <c r="D36" i="3"/>
  <c r="F57" i="3"/>
  <c r="F59" i="3" s="1"/>
  <c r="I50" i="3"/>
  <c r="J50" i="3" s="1"/>
  <c r="F131" i="3"/>
  <c r="F133" i="3" s="1"/>
  <c r="E49" i="3"/>
  <c r="E76" i="3"/>
  <c r="E68" i="3"/>
  <c r="E142" i="3"/>
  <c r="F142" i="3"/>
  <c r="G49" i="3"/>
  <c r="I72" i="3"/>
  <c r="I73" i="3"/>
  <c r="D110" i="3"/>
  <c r="D113" i="3"/>
  <c r="D106" i="3"/>
  <c r="H24" i="3"/>
  <c r="H26" i="3" s="1"/>
  <c r="I44" i="3"/>
  <c r="I43" i="3"/>
  <c r="E74" i="3"/>
  <c r="E82" i="3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I11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47" i="4" s="1"/>
  <c r="I39" i="3"/>
  <c r="G131" i="3"/>
  <c r="G133" i="3" s="1"/>
  <c r="C142" i="3"/>
  <c r="C134" i="3"/>
  <c r="C143" i="3"/>
  <c r="H155" i="3"/>
  <c r="H163" i="3"/>
  <c r="H164" i="3"/>
  <c r="I164" i="3"/>
  <c r="I163" i="3"/>
  <c r="D82" i="3"/>
  <c r="D116" i="3"/>
  <c r="G169" i="3"/>
  <c r="G170" i="3"/>
  <c r="L26" i="3"/>
  <c r="M26" i="3" s="1"/>
  <c r="N26" i="3" s="1"/>
  <c r="K24" i="3"/>
  <c r="K23" i="3" s="1"/>
  <c r="F82" i="3"/>
  <c r="D97" i="3"/>
  <c r="D98" i="3" s="1"/>
  <c r="D100" i="3" s="1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47" i="4" s="1"/>
  <c r="E39" i="3"/>
  <c r="E41" i="3"/>
  <c r="F39" i="3"/>
  <c r="D163" i="3"/>
  <c r="D164" i="3"/>
  <c r="D41" i="3"/>
  <c r="F155" i="3"/>
  <c r="F164" i="3"/>
  <c r="D76" i="3"/>
  <c r="C76" i="3"/>
  <c r="C68" i="3"/>
  <c r="K167" i="3"/>
  <c r="J165" i="3"/>
  <c r="J166" i="3" s="1"/>
  <c r="M34" i="3"/>
  <c r="L32" i="3"/>
  <c r="I83" i="3"/>
  <c r="J83" i="3" s="1"/>
  <c r="D142" i="3"/>
  <c r="D134" i="3"/>
  <c r="E135" i="3" s="1"/>
  <c r="F49" i="3"/>
  <c r="F41" i="3"/>
  <c r="H74" i="3"/>
  <c r="H72" i="3"/>
  <c r="H6" i="4"/>
  <c r="H47" i="4" s="1"/>
  <c r="H73" i="3"/>
  <c r="M25" i="3"/>
  <c r="H125" i="3"/>
  <c r="I35" i="3"/>
  <c r="I5" i="3" s="1"/>
  <c r="I11" i="3" s="1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47" i="4" s="1"/>
  <c r="G106" i="3"/>
  <c r="G101" i="3"/>
  <c r="H113" i="3"/>
  <c r="E166" i="3"/>
  <c r="E167" i="3"/>
  <c r="C28" i="3"/>
  <c r="C30" i="3" s="1"/>
  <c r="D40" i="3"/>
  <c r="D39" i="3"/>
  <c r="F74" i="3"/>
  <c r="G72" i="3"/>
  <c r="F6" i="4"/>
  <c r="F47" i="4" s="1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F5" i="3" s="1"/>
  <c r="F11" i="3" s="1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D5" i="3" s="1"/>
  <c r="D11" i="3" s="1"/>
  <c r="E159" i="3"/>
  <c r="E161" i="3"/>
  <c r="G76" i="3"/>
  <c r="G68" i="3"/>
  <c r="E109" i="3"/>
  <c r="E110" i="3"/>
  <c r="G35" i="3"/>
  <c r="H43" i="3"/>
  <c r="G43" i="3"/>
  <c r="D73" i="3"/>
  <c r="D74" i="3"/>
  <c r="E72" i="3"/>
  <c r="F96" i="3"/>
  <c r="C105" i="3"/>
  <c r="C101" i="3"/>
  <c r="K140" i="3"/>
  <c r="F159" i="3"/>
  <c r="F161" i="3"/>
  <c r="I125" i="3"/>
  <c r="H131" i="3"/>
  <c r="H133" i="3" s="1"/>
  <c r="F135" i="3"/>
  <c r="E170" i="3"/>
  <c r="E152" i="3"/>
  <c r="E154" i="3" s="1"/>
  <c r="I49" i="3"/>
  <c r="G135" i="3"/>
  <c r="F152" i="3"/>
  <c r="F154" i="3" s="1"/>
  <c r="D28" i="3"/>
  <c r="D30" i="3" s="1"/>
  <c r="F86" i="3"/>
  <c r="F88" i="3" s="1"/>
  <c r="G152" i="3"/>
  <c r="G154" i="3" s="1"/>
  <c r="H76" i="3"/>
  <c r="H68" i="3"/>
  <c r="H5" i="3" s="1"/>
  <c r="H11" i="3" s="1"/>
  <c r="D24" i="3"/>
  <c r="D26" i="3" s="1"/>
  <c r="E24" i="3"/>
  <c r="E26" i="3" s="1"/>
  <c r="B35" i="3"/>
  <c r="B5" i="3" s="1"/>
  <c r="B11" i="3" s="1"/>
  <c r="C47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92" i="3"/>
  <c r="I109" i="3"/>
  <c r="D170" i="3"/>
  <c r="F79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I129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8" i="1"/>
  <c r="B189" i="1" s="1"/>
  <c r="I20" i="1"/>
  <c r="I76" i="1"/>
  <c r="I96" i="1" s="1"/>
  <c r="C20" i="1"/>
  <c r="C64" i="1"/>
  <c r="F20" i="1"/>
  <c r="F64" i="1"/>
  <c r="I165" i="1"/>
  <c r="C165" i="1"/>
  <c r="D165" i="1"/>
  <c r="D12" i="1"/>
  <c r="E165" i="1"/>
  <c r="E12" i="1"/>
  <c r="G20" i="1"/>
  <c r="G64" i="1"/>
  <c r="B60" i="1"/>
  <c r="C60" i="1"/>
  <c r="I188" i="1"/>
  <c r="I189" i="1" s="1"/>
  <c r="F3" i="4" l="1"/>
  <c r="F24" i="4" s="1"/>
  <c r="F4" i="3"/>
  <c r="F4" i="4" s="1"/>
  <c r="B12" i="1"/>
  <c r="B11" i="4"/>
  <c r="C22" i="3"/>
  <c r="G3" i="3"/>
  <c r="G3" i="4" s="1"/>
  <c r="G24" i="4" s="1"/>
  <c r="G22" i="3"/>
  <c r="G40" i="3"/>
  <c r="G14" i="4"/>
  <c r="G19" i="4" s="1"/>
  <c r="G13" i="4"/>
  <c r="K212" i="3"/>
  <c r="J210" i="3"/>
  <c r="J211" i="3" s="1"/>
  <c r="D139" i="3"/>
  <c r="D146" i="3"/>
  <c r="D119" i="3"/>
  <c r="D121" i="3" s="1"/>
  <c r="D130" i="3"/>
  <c r="E80" i="3"/>
  <c r="E77" i="3"/>
  <c r="E83" i="3"/>
  <c r="E119" i="3"/>
  <c r="E121" i="3" s="1"/>
  <c r="D3" i="3"/>
  <c r="C212" i="3"/>
  <c r="C14" i="3"/>
  <c r="C211" i="3"/>
  <c r="H14" i="4"/>
  <c r="H19" i="4" s="1"/>
  <c r="H13" i="4"/>
  <c r="H211" i="3"/>
  <c r="H212" i="3"/>
  <c r="H14" i="3"/>
  <c r="F14" i="4"/>
  <c r="F19" i="4" s="1"/>
  <c r="F13" i="4"/>
  <c r="F76" i="1"/>
  <c r="F96" i="1" s="1"/>
  <c r="F83" i="3"/>
  <c r="F77" i="3"/>
  <c r="D212" i="3"/>
  <c r="D211" i="3"/>
  <c r="D14" i="3"/>
  <c r="N199" i="3"/>
  <c r="H64" i="1"/>
  <c r="F212" i="3"/>
  <c r="F14" i="3"/>
  <c r="F211" i="3"/>
  <c r="F32" i="3"/>
  <c r="F34" i="3" s="1"/>
  <c r="C13" i="4"/>
  <c r="C14" i="4"/>
  <c r="C19" i="4" s="1"/>
  <c r="B47" i="3"/>
  <c r="G5" i="3"/>
  <c r="G11" i="3" s="1"/>
  <c r="C9" i="3"/>
  <c r="G50" i="3"/>
  <c r="G53" i="3"/>
  <c r="G55" i="3" s="1"/>
  <c r="B3" i="3"/>
  <c r="B10" i="3" s="1"/>
  <c r="B44" i="3"/>
  <c r="B50" i="3"/>
  <c r="B40" i="3"/>
  <c r="B22" i="3"/>
  <c r="C3" i="4"/>
  <c r="C24" i="4" s="1"/>
  <c r="C10" i="3"/>
  <c r="C19" i="3"/>
  <c r="B6" i="4"/>
  <c r="B47" i="4" s="1"/>
  <c r="B9" i="3"/>
  <c r="F73" i="3"/>
  <c r="B211" i="3"/>
  <c r="B212" i="3"/>
  <c r="F53" i="3"/>
  <c r="F55" i="3" s="1"/>
  <c r="G47" i="3"/>
  <c r="G44" i="3"/>
  <c r="I60" i="1"/>
  <c r="G31" i="3"/>
  <c r="G32" i="3" s="1"/>
  <c r="G34" i="3" s="1"/>
  <c r="E212" i="3"/>
  <c r="E14" i="3"/>
  <c r="E16" i="3" s="1"/>
  <c r="E211" i="3"/>
  <c r="G211" i="3"/>
  <c r="G212" i="3"/>
  <c r="G14" i="3"/>
  <c r="C76" i="1"/>
  <c r="C96" i="1" s="1"/>
  <c r="F80" i="3"/>
  <c r="E5" i="3"/>
  <c r="E11" i="3" s="1"/>
  <c r="F64" i="3"/>
  <c r="F65" i="3" s="1"/>
  <c r="F67" i="3" s="1"/>
  <c r="G76" i="1"/>
  <c r="G96" i="1" s="1"/>
  <c r="C18" i="3"/>
  <c r="B18" i="3"/>
  <c r="C98" i="3"/>
  <c r="C100" i="3" s="1"/>
  <c r="B15" i="3"/>
  <c r="I13" i="4"/>
  <c r="I14" i="4"/>
  <c r="I19" i="4" s="1"/>
  <c r="D143" i="3"/>
  <c r="H22" i="3"/>
  <c r="D149" i="3"/>
  <c r="I119" i="3"/>
  <c r="I121" i="3" s="1"/>
  <c r="I143" i="3"/>
  <c r="I139" i="3"/>
  <c r="I130" i="3"/>
  <c r="I149" i="3"/>
  <c r="J149" i="3" s="1"/>
  <c r="I146" i="3"/>
  <c r="J146" i="3" s="1"/>
  <c r="K146" i="3" s="1"/>
  <c r="L146" i="3" s="1"/>
  <c r="M146" i="3" s="1"/>
  <c r="N146" i="3" s="1"/>
  <c r="H3" i="3"/>
  <c r="H3" i="4" s="1"/>
  <c r="H24" i="4" s="1"/>
  <c r="H31" i="3"/>
  <c r="H44" i="3"/>
  <c r="H47" i="3"/>
  <c r="H40" i="3"/>
  <c r="H50" i="3"/>
  <c r="L208" i="3"/>
  <c r="M208" i="3"/>
  <c r="M204" i="3"/>
  <c r="N214" i="3"/>
  <c r="N213" i="3"/>
  <c r="N203" i="3" s="1"/>
  <c r="N205" i="3" s="1"/>
  <c r="N194" i="3"/>
  <c r="N184" i="3" s="1"/>
  <c r="J52" i="3"/>
  <c r="I5" i="4"/>
  <c r="C6" i="3"/>
  <c r="D69" i="3"/>
  <c r="H5" i="4"/>
  <c r="K52" i="3"/>
  <c r="K78" i="3" s="1"/>
  <c r="M185" i="3"/>
  <c r="M188" i="3"/>
  <c r="N182" i="3"/>
  <c r="H36" i="3"/>
  <c r="L56" i="3"/>
  <c r="L27" i="3"/>
  <c r="D65" i="3"/>
  <c r="D67" i="3" s="1"/>
  <c r="L24" i="3"/>
  <c r="L23" i="3" s="1"/>
  <c r="E4" i="3"/>
  <c r="E4" i="4" s="1"/>
  <c r="E3" i="4"/>
  <c r="E24" i="4" s="1"/>
  <c r="G4" i="3"/>
  <c r="G4" i="4" s="1"/>
  <c r="I3" i="4"/>
  <c r="I24" i="4" s="1"/>
  <c r="I18" i="3"/>
  <c r="I19" i="3"/>
  <c r="B36" i="3"/>
  <c r="B37" i="3"/>
  <c r="L140" i="3"/>
  <c r="H157" i="3"/>
  <c r="H156" i="3"/>
  <c r="G9" i="3"/>
  <c r="G10" i="3"/>
  <c r="M56" i="3"/>
  <c r="L52" i="3"/>
  <c r="E5" i="4"/>
  <c r="E37" i="3"/>
  <c r="F36" i="3"/>
  <c r="E36" i="3"/>
  <c r="E98" i="3"/>
  <c r="E100" i="3" s="1"/>
  <c r="K50" i="3"/>
  <c r="J49" i="3"/>
  <c r="L126" i="3"/>
  <c r="K53" i="3"/>
  <c r="I70" i="3"/>
  <c r="J70" i="3" s="1"/>
  <c r="K70" i="3" s="1"/>
  <c r="L70" i="3" s="1"/>
  <c r="M70" i="3" s="1"/>
  <c r="N70" i="3" s="1"/>
  <c r="I69" i="3"/>
  <c r="C135" i="3"/>
  <c r="C136" i="3"/>
  <c r="I15" i="3"/>
  <c r="I16" i="3"/>
  <c r="D135" i="3"/>
  <c r="D136" i="3"/>
  <c r="E9" i="3"/>
  <c r="E10" i="3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F9" i="3"/>
  <c r="F10" i="3"/>
  <c r="G19" i="3"/>
  <c r="G18" i="3"/>
  <c r="K158" i="3"/>
  <c r="K160" i="3" s="1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J160" i="3" s="1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J82" i="3"/>
  <c r="I157" i="3"/>
  <c r="J157" i="3" s="1"/>
  <c r="I156" i="3"/>
  <c r="G15" i="3"/>
  <c r="G16" i="3"/>
  <c r="J53" i="3"/>
  <c r="J78" i="3"/>
  <c r="J79" i="3" s="1"/>
  <c r="J81" i="3"/>
  <c r="J71" i="3" s="1"/>
  <c r="J73" i="3" s="1"/>
  <c r="H103" i="3"/>
  <c r="H102" i="3"/>
  <c r="I102" i="3"/>
  <c r="H10" i="3"/>
  <c r="H9" i="3"/>
  <c r="L170" i="3"/>
  <c r="K169" i="3"/>
  <c r="E19" i="3"/>
  <c r="E18" i="3"/>
  <c r="E20" i="1"/>
  <c r="E64" i="1"/>
  <c r="D20" i="1"/>
  <c r="D64" i="1"/>
  <c r="L212" i="3" l="1"/>
  <c r="K210" i="3"/>
  <c r="K211" i="3" s="1"/>
  <c r="F15" i="3"/>
  <c r="B19" i="3"/>
  <c r="J148" i="3"/>
  <c r="K149" i="3"/>
  <c r="B16" i="3"/>
  <c r="C4" i="3"/>
  <c r="C4" i="4" s="1"/>
  <c r="B14" i="4"/>
  <c r="B19" i="4" s="1"/>
  <c r="B13" i="4"/>
  <c r="G98" i="1"/>
  <c r="C98" i="1"/>
  <c r="C15" i="3"/>
  <c r="C16" i="3"/>
  <c r="B20" i="1"/>
  <c r="B64" i="1"/>
  <c r="D16" i="3"/>
  <c r="D15" i="3"/>
  <c r="F98" i="1"/>
  <c r="E15" i="3"/>
  <c r="K81" i="3"/>
  <c r="K71" i="3" s="1"/>
  <c r="K73" i="3" s="1"/>
  <c r="H76" i="1"/>
  <c r="H96" i="1" s="1"/>
  <c r="B3" i="4"/>
  <c r="B24" i="4" s="1"/>
  <c r="B4" i="3"/>
  <c r="B4" i="4" s="1"/>
  <c r="D131" i="3"/>
  <c r="D133" i="3" s="1"/>
  <c r="E131" i="3"/>
  <c r="E133" i="3" s="1"/>
  <c r="H32" i="3"/>
  <c r="H34" i="3" s="1"/>
  <c r="I131" i="3"/>
  <c r="I133" i="3" s="1"/>
  <c r="J130" i="3"/>
  <c r="D76" i="1"/>
  <c r="D96" i="1" s="1"/>
  <c r="G65" i="3"/>
  <c r="G67" i="3" s="1"/>
  <c r="I4" i="3"/>
  <c r="I4" i="4" s="1"/>
  <c r="D3" i="4"/>
  <c r="D24" i="4" s="1"/>
  <c r="D4" i="3"/>
  <c r="D4" i="4" s="1"/>
  <c r="D19" i="3"/>
  <c r="D10" i="3"/>
  <c r="E76" i="1"/>
  <c r="E96" i="1" s="1"/>
  <c r="N188" i="3"/>
  <c r="N189" i="3" s="1"/>
  <c r="N186" i="3"/>
  <c r="F5" i="4"/>
  <c r="C7" i="3"/>
  <c r="I7" i="4"/>
  <c r="I46" i="4" s="1"/>
  <c r="I49" i="4" s="1"/>
  <c r="C5" i="4"/>
  <c r="N185" i="3"/>
  <c r="N204" i="3"/>
  <c r="N207" i="3"/>
  <c r="B7" i="3"/>
  <c r="B6" i="3"/>
  <c r="M189" i="3"/>
  <c r="D5" i="4"/>
  <c r="D7" i="3"/>
  <c r="M27" i="3"/>
  <c r="C12" i="3"/>
  <c r="C8" i="4" s="1"/>
  <c r="B5" i="4"/>
  <c r="D6" i="3"/>
  <c r="C7" i="4"/>
  <c r="C46" i="4" s="1"/>
  <c r="C49" i="4" s="1"/>
  <c r="C13" i="3"/>
  <c r="C9" i="4" s="1"/>
  <c r="N27" i="3"/>
  <c r="K68" i="3"/>
  <c r="J68" i="3"/>
  <c r="J69" i="3" s="1"/>
  <c r="L107" i="3"/>
  <c r="J72" i="3"/>
  <c r="M170" i="3"/>
  <c r="M168" i="3" s="1"/>
  <c r="M158" i="3" s="1"/>
  <c r="M160" i="3" s="1"/>
  <c r="L169" i="3"/>
  <c r="H6" i="3"/>
  <c r="H7" i="3"/>
  <c r="H7" i="4"/>
  <c r="H46" i="4" s="1"/>
  <c r="H49" i="4" s="1"/>
  <c r="L115" i="3"/>
  <c r="M116" i="3"/>
  <c r="K31" i="3"/>
  <c r="J21" i="3"/>
  <c r="J159" i="3"/>
  <c r="N56" i="3"/>
  <c r="N52" i="3" s="1"/>
  <c r="M52" i="3"/>
  <c r="I6" i="3"/>
  <c r="I7" i="3"/>
  <c r="J86" i="3"/>
  <c r="J101" i="3"/>
  <c r="J114" i="3"/>
  <c r="J104" i="3" s="1"/>
  <c r="J106" i="3" s="1"/>
  <c r="J111" i="3"/>
  <c r="J112" i="3" s="1"/>
  <c r="K79" i="3"/>
  <c r="M140" i="3"/>
  <c r="G6" i="3"/>
  <c r="G7" i="3"/>
  <c r="G7" i="4"/>
  <c r="G46" i="4" s="1"/>
  <c r="G49" i="4" s="1"/>
  <c r="L83" i="3"/>
  <c r="L81" i="3" s="1"/>
  <c r="K82" i="3"/>
  <c r="E6" i="3"/>
  <c r="E7" i="3"/>
  <c r="E7" i="4"/>
  <c r="E46" i="4" s="1"/>
  <c r="E49" i="4" s="1"/>
  <c r="L74" i="3"/>
  <c r="K86" i="3"/>
  <c r="K101" i="3"/>
  <c r="K114" i="3"/>
  <c r="K104" i="3" s="1"/>
  <c r="K106" i="3" s="1"/>
  <c r="K111" i="3"/>
  <c r="K157" i="3"/>
  <c r="J155" i="3"/>
  <c r="L85" i="3"/>
  <c r="M89" i="3"/>
  <c r="N151" i="3"/>
  <c r="M152" i="3"/>
  <c r="M165" i="3"/>
  <c r="K159" i="3"/>
  <c r="F6" i="3"/>
  <c r="F7" i="3"/>
  <c r="F7" i="4"/>
  <c r="F46" i="4" s="1"/>
  <c r="F49" i="4" s="1"/>
  <c r="L68" i="3"/>
  <c r="L78" i="3"/>
  <c r="L79" i="3" s="1"/>
  <c r="L53" i="3"/>
  <c r="L165" i="3"/>
  <c r="L166" i="3" s="1"/>
  <c r="M126" i="3"/>
  <c r="L168" i="3"/>
  <c r="L158" i="3" s="1"/>
  <c r="L160" i="3" s="1"/>
  <c r="L50" i="3"/>
  <c r="K49" i="3"/>
  <c r="M23" i="3"/>
  <c r="L41" i="3"/>
  <c r="G54" i="4" l="1"/>
  <c r="G55" i="4" s="1"/>
  <c r="G53" i="4"/>
  <c r="C53" i="4"/>
  <c r="C54" i="4"/>
  <c r="C55" i="4" s="1"/>
  <c r="C66" i="4" s="1"/>
  <c r="E54" i="4"/>
  <c r="E55" i="4" s="1"/>
  <c r="E66" i="4" s="1"/>
  <c r="E53" i="4"/>
  <c r="H53" i="4"/>
  <c r="H54" i="4"/>
  <c r="H55" i="4" s="1"/>
  <c r="H66" i="4" s="1"/>
  <c r="F54" i="4"/>
  <c r="F55" i="4" s="1"/>
  <c r="F66" i="4" s="1"/>
  <c r="F53" i="4"/>
  <c r="G66" i="4"/>
  <c r="I53" i="4"/>
  <c r="I54" i="4"/>
  <c r="I55" i="4" s="1"/>
  <c r="I66" i="4" s="1"/>
  <c r="K130" i="3"/>
  <c r="J118" i="3"/>
  <c r="D98" i="1"/>
  <c r="J3" i="3"/>
  <c r="J209" i="3"/>
  <c r="K75" i="3"/>
  <c r="L149" i="3"/>
  <c r="K148" i="3"/>
  <c r="G68" i="4"/>
  <c r="G99" i="1"/>
  <c r="H97" i="1"/>
  <c r="C99" i="1"/>
  <c r="C68" i="4"/>
  <c r="E98" i="1"/>
  <c r="F99" i="1"/>
  <c r="F68" i="4"/>
  <c r="B76" i="1"/>
  <c r="B96" i="1" s="1"/>
  <c r="B98" i="1" s="1"/>
  <c r="M212" i="3"/>
  <c r="L210" i="3"/>
  <c r="L211" i="3" s="1"/>
  <c r="N208" i="3"/>
  <c r="J190" i="3"/>
  <c r="B7" i="4"/>
  <c r="B46" i="4" s="1"/>
  <c r="B49" i="4" s="1"/>
  <c r="B55" i="4" s="1"/>
  <c r="B66" i="4" s="1"/>
  <c r="B13" i="3"/>
  <c r="B9" i="4" s="1"/>
  <c r="B12" i="3"/>
  <c r="B8" i="4" s="1"/>
  <c r="M166" i="3"/>
  <c r="D7" i="4"/>
  <c r="D46" i="4" s="1"/>
  <c r="D49" i="4" s="1"/>
  <c r="D13" i="3"/>
  <c r="D9" i="4" s="1"/>
  <c r="D12" i="3"/>
  <c r="D8" i="4" s="1"/>
  <c r="K69" i="3"/>
  <c r="J75" i="3"/>
  <c r="K76" i="3" s="1"/>
  <c r="K112" i="3"/>
  <c r="K105" i="3"/>
  <c r="I13" i="3"/>
  <c r="I9" i="4" s="1"/>
  <c r="I12" i="3"/>
  <c r="I8" i="4" s="1"/>
  <c r="L159" i="3"/>
  <c r="J22" i="3"/>
  <c r="J35" i="3"/>
  <c r="J45" i="3"/>
  <c r="J48" i="3"/>
  <c r="J4" i="3"/>
  <c r="N126" i="3"/>
  <c r="K72" i="3"/>
  <c r="L49" i="3"/>
  <c r="M50" i="3"/>
  <c r="M74" i="3"/>
  <c r="L71" i="3"/>
  <c r="M68" i="3"/>
  <c r="M53" i="3"/>
  <c r="M78" i="3"/>
  <c r="M79" i="3" s="1"/>
  <c r="N68" i="3"/>
  <c r="N53" i="3"/>
  <c r="N78" i="3"/>
  <c r="N79" i="3" s="1"/>
  <c r="M159" i="3"/>
  <c r="L31" i="3"/>
  <c r="K21" i="3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M41" i="3"/>
  <c r="M107" i="3"/>
  <c r="E12" i="3"/>
  <c r="E8" i="4" s="1"/>
  <c r="E13" i="3"/>
  <c r="E9" i="4" s="1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6" i="3" s="1"/>
  <c r="L101" i="3"/>
  <c r="L111" i="3"/>
  <c r="L112" i="3" s="1"/>
  <c r="H12" i="3"/>
  <c r="H8" i="4" s="1"/>
  <c r="H13" i="3"/>
  <c r="H9" i="4" s="1"/>
  <c r="L157" i="3"/>
  <c r="K155" i="3"/>
  <c r="J105" i="3"/>
  <c r="J108" i="3"/>
  <c r="J102" i="3"/>
  <c r="N23" i="3"/>
  <c r="G67" i="4" l="1"/>
  <c r="F69" i="4"/>
  <c r="D67" i="4"/>
  <c r="C69" i="4"/>
  <c r="H67" i="4"/>
  <c r="G69" i="4"/>
  <c r="D53" i="4"/>
  <c r="D54" i="4"/>
  <c r="D55" i="4" s="1"/>
  <c r="D66" i="4" s="1"/>
  <c r="E99" i="1"/>
  <c r="E68" i="4"/>
  <c r="M149" i="3"/>
  <c r="L148" i="3"/>
  <c r="B53" i="4"/>
  <c r="D99" i="1"/>
  <c r="D68" i="4"/>
  <c r="H98" i="1"/>
  <c r="J17" i="3"/>
  <c r="N212" i="3"/>
  <c r="N210" i="3" s="1"/>
  <c r="M210" i="3"/>
  <c r="M211" i="3" s="1"/>
  <c r="J76" i="3"/>
  <c r="B99" i="1"/>
  <c r="B68" i="4"/>
  <c r="J119" i="3"/>
  <c r="J144" i="3"/>
  <c r="J145" i="3" s="1"/>
  <c r="J134" i="3"/>
  <c r="J147" i="3"/>
  <c r="J137" i="3" s="1"/>
  <c r="L75" i="3"/>
  <c r="L73" i="3"/>
  <c r="K209" i="3"/>
  <c r="J77" i="3"/>
  <c r="L130" i="3"/>
  <c r="K118" i="3"/>
  <c r="K190" i="3"/>
  <c r="K77" i="3"/>
  <c r="L105" i="3"/>
  <c r="N83" i="3"/>
  <c r="M82" i="3"/>
  <c r="M101" i="3"/>
  <c r="M86" i="3"/>
  <c r="M111" i="3"/>
  <c r="M112" i="3" s="1"/>
  <c r="M114" i="3"/>
  <c r="M104" i="3" s="1"/>
  <c r="M106" i="3" s="1"/>
  <c r="J38" i="3"/>
  <c r="N69" i="3"/>
  <c r="K109" i="3"/>
  <c r="K110" i="3"/>
  <c r="M81" i="3"/>
  <c r="M31" i="3"/>
  <c r="L21" i="3"/>
  <c r="N41" i="3"/>
  <c r="J46" i="3"/>
  <c r="J109" i="3"/>
  <c r="J110" i="3"/>
  <c r="K162" i="3"/>
  <c r="K156" i="3"/>
  <c r="L76" i="3"/>
  <c r="L102" i="3"/>
  <c r="L108" i="3"/>
  <c r="J164" i="3"/>
  <c r="J163" i="3"/>
  <c r="N107" i="3"/>
  <c r="N74" i="3"/>
  <c r="M71" i="3"/>
  <c r="M73" i="3" s="1"/>
  <c r="N101" i="3"/>
  <c r="N86" i="3"/>
  <c r="N111" i="3"/>
  <c r="N114" i="3"/>
  <c r="J36" i="3"/>
  <c r="N168" i="3"/>
  <c r="N158" i="3" s="1"/>
  <c r="N160" i="3" s="1"/>
  <c r="M157" i="3"/>
  <c r="L155" i="3"/>
  <c r="M69" i="3"/>
  <c r="L72" i="3"/>
  <c r="K22" i="3"/>
  <c r="K35" i="3"/>
  <c r="K48" i="3"/>
  <c r="K45" i="3"/>
  <c r="M49" i="3"/>
  <c r="N50" i="3"/>
  <c r="N49" i="3" s="1"/>
  <c r="E67" i="4" l="1"/>
  <c r="D69" i="4"/>
  <c r="C67" i="4"/>
  <c r="B69" i="4"/>
  <c r="F67" i="4"/>
  <c r="E69" i="4"/>
  <c r="K134" i="3"/>
  <c r="K144" i="3"/>
  <c r="K145" i="3" s="1"/>
  <c r="K147" i="3"/>
  <c r="K137" i="3" s="1"/>
  <c r="K119" i="3"/>
  <c r="M130" i="3"/>
  <c r="L118" i="3"/>
  <c r="L3" i="3"/>
  <c r="L209" i="3"/>
  <c r="K17" i="3"/>
  <c r="J141" i="3"/>
  <c r="J135" i="3"/>
  <c r="K5" i="3"/>
  <c r="H68" i="4"/>
  <c r="I97" i="1"/>
  <c r="H99" i="1"/>
  <c r="J42" i="3"/>
  <c r="J44" i="3" s="1"/>
  <c r="J8" i="3"/>
  <c r="J10" i="3" s="1"/>
  <c r="J14" i="3"/>
  <c r="J15" i="3" s="1"/>
  <c r="N211" i="3"/>
  <c r="K14" i="3"/>
  <c r="J5" i="3"/>
  <c r="K3" i="3"/>
  <c r="K4" i="3" s="1"/>
  <c r="N149" i="3"/>
  <c r="N148" i="3" s="1"/>
  <c r="M148" i="3"/>
  <c r="L77" i="3"/>
  <c r="J139" i="3"/>
  <c r="J138" i="3"/>
  <c r="L190" i="3"/>
  <c r="N112" i="3"/>
  <c r="M105" i="3"/>
  <c r="L110" i="3"/>
  <c r="L109" i="3"/>
  <c r="J39" i="3"/>
  <c r="J40" i="3"/>
  <c r="K46" i="3"/>
  <c r="K38" i="3"/>
  <c r="K36" i="3"/>
  <c r="J6" i="3"/>
  <c r="J7" i="3"/>
  <c r="N159" i="3"/>
  <c r="J18" i="3"/>
  <c r="J19" i="3"/>
  <c r="K164" i="3"/>
  <c r="K163" i="3"/>
  <c r="N102" i="3"/>
  <c r="N157" i="3"/>
  <c r="N155" i="3" s="1"/>
  <c r="M155" i="3"/>
  <c r="M102" i="3"/>
  <c r="M108" i="3"/>
  <c r="M72" i="3"/>
  <c r="N82" i="3"/>
  <c r="N81" i="3"/>
  <c r="N71" i="3" s="1"/>
  <c r="N73" i="3" s="1"/>
  <c r="N104" i="3"/>
  <c r="L35" i="3"/>
  <c r="L48" i="3"/>
  <c r="L22" i="3"/>
  <c r="L45" i="3"/>
  <c r="L4" i="3"/>
  <c r="M75" i="3"/>
  <c r="N31" i="3"/>
  <c r="N21" i="3" s="1"/>
  <c r="M21" i="3"/>
  <c r="L162" i="3"/>
  <c r="L156" i="3"/>
  <c r="I67" i="4" l="1"/>
  <c r="H69" i="4"/>
  <c r="K42" i="3"/>
  <c r="K8" i="3"/>
  <c r="K10" i="3" s="1"/>
  <c r="J43" i="3"/>
  <c r="N209" i="3"/>
  <c r="L14" i="3"/>
  <c r="L5" i="3"/>
  <c r="J16" i="3"/>
  <c r="K139" i="3"/>
  <c r="K138" i="3"/>
  <c r="M209" i="3"/>
  <c r="I98" i="1"/>
  <c r="K11" i="3"/>
  <c r="J143" i="3"/>
  <c r="J142" i="3"/>
  <c r="L17" i="3"/>
  <c r="N130" i="3"/>
  <c r="N118" i="3" s="1"/>
  <c r="M118" i="3"/>
  <c r="N108" i="3"/>
  <c r="N106" i="3"/>
  <c r="L119" i="3"/>
  <c r="L147" i="3"/>
  <c r="L137" i="3" s="1"/>
  <c r="L144" i="3"/>
  <c r="L145" i="3" s="1"/>
  <c r="L134" i="3"/>
  <c r="J11" i="3"/>
  <c r="K135" i="3"/>
  <c r="K141" i="3"/>
  <c r="N190" i="3"/>
  <c r="M190" i="3"/>
  <c r="N72" i="3"/>
  <c r="N75" i="3"/>
  <c r="J12" i="3"/>
  <c r="J13" i="3"/>
  <c r="K7" i="3"/>
  <c r="K6" i="3"/>
  <c r="N110" i="3"/>
  <c r="N109" i="3"/>
  <c r="N35" i="3"/>
  <c r="N48" i="3"/>
  <c r="N22" i="3"/>
  <c r="N45" i="3"/>
  <c r="M77" i="3"/>
  <c r="M76" i="3"/>
  <c r="K40" i="3"/>
  <c r="K39" i="3"/>
  <c r="K16" i="3"/>
  <c r="K15" i="3"/>
  <c r="L36" i="3"/>
  <c r="N105" i="3"/>
  <c r="J9" i="3"/>
  <c r="K43" i="3"/>
  <c r="K44" i="3"/>
  <c r="K19" i="3"/>
  <c r="K18" i="3"/>
  <c r="M35" i="3"/>
  <c r="M48" i="3"/>
  <c r="M22" i="3"/>
  <c r="M45" i="3"/>
  <c r="M162" i="3"/>
  <c r="M156" i="3"/>
  <c r="N156" i="3"/>
  <c r="N162" i="3"/>
  <c r="L46" i="3"/>
  <c r="L38" i="3"/>
  <c r="M110" i="3"/>
  <c r="M109" i="3"/>
  <c r="L164" i="3"/>
  <c r="L163" i="3"/>
  <c r="N119" i="3" l="1"/>
  <c r="N134" i="3"/>
  <c r="N144" i="3"/>
  <c r="N147" i="3"/>
  <c r="N137" i="3" s="1"/>
  <c r="M144" i="3"/>
  <c r="M145" i="3" s="1"/>
  <c r="M147" i="3"/>
  <c r="M137" i="3" s="1"/>
  <c r="M119" i="3"/>
  <c r="M134" i="3"/>
  <c r="M17" i="3"/>
  <c r="L42" i="3"/>
  <c r="L44" i="3" s="1"/>
  <c r="L8" i="3"/>
  <c r="L10" i="3" s="1"/>
  <c r="L11" i="3"/>
  <c r="M5" i="3"/>
  <c r="M11" i="3" s="1"/>
  <c r="I99" i="1"/>
  <c r="I68" i="4"/>
  <c r="I69" i="4" s="1"/>
  <c r="M3" i="3"/>
  <c r="M4" i="3" s="1"/>
  <c r="K142" i="3"/>
  <c r="K143" i="3"/>
  <c r="L139" i="3"/>
  <c r="L138" i="3"/>
  <c r="L141" i="3"/>
  <c r="L135" i="3"/>
  <c r="N3" i="3"/>
  <c r="N4" i="3" s="1"/>
  <c r="N14" i="3"/>
  <c r="M14" i="3"/>
  <c r="N17" i="3"/>
  <c r="M38" i="3"/>
  <c r="M8" i="3" s="1"/>
  <c r="N36" i="3"/>
  <c r="N42" i="3"/>
  <c r="M46" i="3"/>
  <c r="N46" i="3"/>
  <c r="N164" i="3"/>
  <c r="N163" i="3"/>
  <c r="L7" i="3"/>
  <c r="L6" i="3"/>
  <c r="K9" i="3"/>
  <c r="M36" i="3"/>
  <c r="N38" i="3"/>
  <c r="N8" i="3" s="1"/>
  <c r="N10" i="3" s="1"/>
  <c r="L39" i="3"/>
  <c r="L40" i="3"/>
  <c r="L19" i="3"/>
  <c r="L18" i="3"/>
  <c r="L16" i="3"/>
  <c r="L15" i="3"/>
  <c r="M164" i="3"/>
  <c r="M163" i="3"/>
  <c r="N77" i="3"/>
  <c r="N76" i="3"/>
  <c r="M10" i="3" l="1"/>
  <c r="L43" i="3"/>
  <c r="M135" i="3"/>
  <c r="M141" i="3"/>
  <c r="M139" i="3"/>
  <c r="M138" i="3"/>
  <c r="N135" i="3"/>
  <c r="N141" i="3"/>
  <c r="N139" i="3"/>
  <c r="N138" i="3"/>
  <c r="N145" i="3"/>
  <c r="L143" i="3"/>
  <c r="L142" i="3"/>
  <c r="M42" i="3"/>
  <c r="M44" i="3" s="1"/>
  <c r="N5" i="3"/>
  <c r="N11" i="3" s="1"/>
  <c r="K13" i="3"/>
  <c r="K12" i="3"/>
  <c r="M16" i="3"/>
  <c r="M15" i="3"/>
  <c r="N6" i="3"/>
  <c r="L12" i="3"/>
  <c r="L13" i="3"/>
  <c r="N16" i="3"/>
  <c r="N15" i="3"/>
  <c r="L9" i="3"/>
  <c r="N44" i="3"/>
  <c r="N39" i="3"/>
  <c r="N40" i="3"/>
  <c r="M39" i="3"/>
  <c r="M40" i="3"/>
  <c r="N19" i="3"/>
  <c r="N18" i="3"/>
  <c r="M18" i="3"/>
  <c r="M19" i="3"/>
  <c r="M7" i="3"/>
  <c r="M6" i="3"/>
  <c r="N43" i="3" l="1"/>
  <c r="N142" i="3"/>
  <c r="N143" i="3"/>
  <c r="M142" i="3"/>
  <c r="M143" i="3"/>
  <c r="M43" i="3"/>
  <c r="N7" i="3"/>
  <c r="N9" i="3"/>
  <c r="M9" i="3"/>
  <c r="M13" i="3"/>
  <c r="M12" i="3"/>
  <c r="N13" i="3" l="1"/>
  <c r="N12" i="3"/>
  <c r="K1" i="4" l="1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>
  <authors>
    <author>Dell</author>
  </authors>
  <commentList>
    <comment ref="A187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<sst xmlns="http://schemas.openxmlformats.org/spreadsheetml/2006/main" count="549" uniqueCount="220">
  <si>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</si>
  <si>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</si>
  <si>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</si>
  <si>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</si>
  <si>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</si>
  <si>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</si>
  <si>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</si>
  <si>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</si>
  <si>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</si>
  <si>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</si>
  <si>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</si>
  <si>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</si>
  <si>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</si>
  <si>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</si>
  <si>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</si>
  <si>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</si>
  <si>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</si>
  <si>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</si>
  <si>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</si>
  <si>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</si>
  <si>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</si>
  <si>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</si>
  <si>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</si>
  <si>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</si>
  <si>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</si>
  <si>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</si>
  <si>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</si>
  <si>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</si>
  <si>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</si>
  <si>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</si>
  <si>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</si>
  <si>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</si>
  <si>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</si>
  <si>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</si>
  <si>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</si>
  <si>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</si>
  <si>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</si>
  <si>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</si>
  <si>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</si>
  <si>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</si>
  <si>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</si>
  <si>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</si>
  <si>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</si>
  <si>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</si>
  <si>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</si>
  <si>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</si>
  <si>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</si>
  <si>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</si>
  <si>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</si>
  <si>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</si>
  <si>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</si>
  <si>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</si>
  <si>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</si>
  <si>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</si>
  <si>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</si>
  <si>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</si>
  <si>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</si>
  <si>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</si>
  <si>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</si>
  <si>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</si>
  <si>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</si>
  <si>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</si>
  <si>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</si>
  <si>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</si>
  <si>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</si>
  <si>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</si>
  <si>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</si>
  <si>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</si>
  <si>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</si>
  <si>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</si>
  <si>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</si>
  <si>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</si>
  <si>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</si>
  <si>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</si>
  <si>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</si>
  <si>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</si>
  <si>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</si>
  <si>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</si>
  <si>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</si>
  <si>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</si>
  <si>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</si>
  <si>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</si>
  <si>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</si>
  <si>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</si>
  <si>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</si>
  <si>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</si>
  <si>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</si>
  <si>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</si>
  <si>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</si>
  <si>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</si>
  <si>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</si>
  <si>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</si>
  <si>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</si>
  <si>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</si>
  <si>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</si>
  <si>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</si>
  <si>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</si>
  <si>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</si>
  <si>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</si>
  <si>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</si>
  <si>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</si>
  <si>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</si>
  <si>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</si>
  <si>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</si>
  <si>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</si>
  <si>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</si>
  <si>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</si>
  <si>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</si>
  <si>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</si>
  <si>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</si>
  <si>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</si>
  <si>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</si>
  <si>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</si>
  <si>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</si>
  <si>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</si>
  <si>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</si>
  <si>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</si>
  <si>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</si>
  <si>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</si>
  <si>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</si>
  <si>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</si>
  <si>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</si>
  <si>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</si>
  <si>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</si>
  <si>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</si>
  <si>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</si>
  <si>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</si>
  <si>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</si>
  <si>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</si>
  <si>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</si>
  <si>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</si>
  <si>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</si>
  <si>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</si>
  <si>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</si>
  <si>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</si>
  <si>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</si>
  <si>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</si>
  <si>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</si>
  <si>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</si>
  <si>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</si>
  <si>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</si>
  <si>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</si>
  <si>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</si>
  <si>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</si>
  <si>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</si>
  <si>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</si>
  <si>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</si>
  <si>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</si>
  <si>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</si>
  <si>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</si>
  <si>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</si>
  <si>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</si>
  <si>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</si>
  <si>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</si>
  <si>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</si>
  <si>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</si>
  <si>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</si>
  <si>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</si>
  <si>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</si>
  <si>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</si>
  <si>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</si>
  <si>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</si>
  <si>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</si>
  <si>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</si>
  <si>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</si>
  <si>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</si>
  <si>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</si>
  <si>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</si>
  <si>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</si>
  <si>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</si>
  <si>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</si>
  <si>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</si>
  <si>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</si>
  <si>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</si>
  <si>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</si>
  <si>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</si>
  <si>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</si>
  <si>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</si>
  <si>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</si>
  <si>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</si>
  <si>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</si>
  <si>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</si>
  <si>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</si>
  <si>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</si>
  <si>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</si>
  <si>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</si>
  <si>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</si>
  <si>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</si>
  <si>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</si>
  <si>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</si>
  <si>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</si>
  <si>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</si>
  <si>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</si>
  <si>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</si>
  <si>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</si>
  <si>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</si>
  <si>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</si>
  <si>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</si>
  <si>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</si>
  <si>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</si>
  <si>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</si>
  <si>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</si>
  <si>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</si>
  <si>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</si>
  <si>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</si>
  <si>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</si>
  <si>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</si>
  <si>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</si>
  <si>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</si>
  <si>
    <t>(Increase)/Decrease in Working Capital</t>
  </si>
  <si>
    <t>Should be row 33 and 34 only</t>
  </si>
  <si>
    <t>Should be row 32+35+36+37+38+39</t>
  </si>
  <si>
    <t>Subtract cash interest from formula and link change in WC and capex with + sign because they are already in negative</t>
  </si>
  <si>
    <t>Add Historicals row 87 to this</t>
  </si>
  <si>
    <t>Subtract cash interest here</t>
  </si>
  <si>
    <t>Add cash interest here</t>
  </si>
  <si>
    <t>Subtract D&amp;A from this, link change in WC with - sign and remove cash interest (comment on the previous feedback was an error, since cash interest is not part of the CF, its actually at the bottom under additional info)</t>
  </si>
  <si>
    <t xml:space="preserve"> remove cash interest from formula (comment on the previous feedback was an error, since cash interest is not part of the CF, its actually at the bottom under additional info)</t>
  </si>
  <si>
    <t>Should be the addition of row 66 and 67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</si>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</sst>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18" fillId="5" borderId="0" xfId="5" applyNumberFormat="1" applyFont="1"/>
    <xf numFmtId="0" fontId="0" fillId="0" borderId="0" xfId="0" applyFill="1"/>
    <xf numFmtId="166" fontId="11" fillId="0" borderId="0" xfId="2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0" fontId="0" fillId="0" borderId="0" xfId="0" applyFill="1" applyAlignment="1">
      <alignment horizontal="left" indent="1"/>
    </xf>
    <xf numFmtId="0" fontId="5" fillId="0" borderId="0" xfId="0" applyFont="1" applyBorder="1"/>
    <xf numFmtId="165" fontId="5" fillId="0" borderId="0" xfId="1" applyNumberFormat="1" applyFont="1" applyFill="1" applyBorder="1"/>
    <xf numFmtId="165" fontId="1" fillId="0" borderId="4" xfId="1" applyNumberFormat="1" applyFont="1" applyFill="1" applyBorder="1"/>
    <xf numFmtId="165" fontId="1" fillId="0" borderId="0" xfId="1" applyNumberFormat="1" applyFont="1" applyFill="1"/>
    <xf numFmtId="165" fontId="1" fillId="0" borderId="2" xfId="1" applyNumberFormat="1" applyFont="1" applyFill="1" applyBorder="1"/>
  </cellXfs>
  <cellStyles count="7">
    <cellStyle name="60% - Accent1" xfId="5" builtinId="32"/>
    <cellStyle name="Accent1" xfId="4" builtinId="29"/>
    <cellStyle name="Comma" xfId="1" builtinId="3"/>
    <cellStyle name="Comma 2" xfId="3"/>
    <cellStyle name="Comma 2 2" xf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2" t="s">
        <v>198</v>
      </c>
    </row>
    <row r="3" spans="1:1" x14ac:dyDescent="0.3">
      <c r="A3" s="32" t="s">
        <v>197</v>
      </c>
    </row>
    <row r="4" spans="1:1" x14ac:dyDescent="0.3">
      <c r="A4" s="19" t="s">
        <v>199</v>
      </c>
    </row>
    <row r="5" spans="1:1" x14ac:dyDescent="0.3">
      <c r="A5" s="32"/>
    </row>
    <row r="6" spans="1:1" x14ac:dyDescent="0.3">
      <c r="A6" s="32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workbookViewId="0">
      <pane ySplit="1" topLeftCell="A75" activePane="bottomLeft" state="frozen"/>
      <selection pane="bottomLeft" activeCell="B97" sqref="B97"/>
    </sheetView>
  </sheetViews>
  <sheetFormatPr defaultColWidth="8.77734375" defaultRowHeight="14.4" x14ac:dyDescent="0.3"/>
  <cols>
    <col min="1" max="1" width="78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74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74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">
      <c r="A27" s="74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74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74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75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76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76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">
      <c r="A33" s="76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76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76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3">
        <f t="shared" ref="B64:H64" si="12">+B12</f>
        <v>3273</v>
      </c>
      <c r="C64" s="63">
        <f t="shared" si="12"/>
        <v>3760</v>
      </c>
      <c r="D64" s="63">
        <f t="shared" si="12"/>
        <v>4240</v>
      </c>
      <c r="E64" s="63">
        <f t="shared" si="12"/>
        <v>1933</v>
      </c>
      <c r="F64" s="63">
        <f t="shared" si="12"/>
        <v>4029</v>
      </c>
      <c r="G64" s="63">
        <f t="shared" si="12"/>
        <v>2539</v>
      </c>
      <c r="H64" s="63">
        <f t="shared" si="12"/>
        <v>5727</v>
      </c>
      <c r="I64" s="63">
        <f>+I12</f>
        <v>6046</v>
      </c>
    </row>
    <row r="65" spans="1:15" s="1" customFormat="1" x14ac:dyDescent="0.3">
      <c r="A65" s="2" t="s">
        <v>65</v>
      </c>
      <c r="B65" s="64"/>
      <c r="C65" s="64"/>
      <c r="D65" s="64"/>
      <c r="E65" s="64"/>
      <c r="F65" s="64"/>
      <c r="G65" s="64"/>
      <c r="H65" s="64"/>
      <c r="I65" s="64"/>
    </row>
    <row r="66" spans="1:15" x14ac:dyDescent="0.3">
      <c r="A66" s="11" t="s">
        <v>66</v>
      </c>
      <c r="B66" s="64">
        <v>606</v>
      </c>
      <c r="C66" s="64">
        <v>649</v>
      </c>
      <c r="D66" s="64">
        <v>706</v>
      </c>
      <c r="E66" s="64">
        <v>747</v>
      </c>
      <c r="F66" s="64">
        <v>705</v>
      </c>
      <c r="G66" s="64">
        <v>721</v>
      </c>
      <c r="H66" s="64">
        <v>744</v>
      </c>
      <c r="I66" s="64">
        <v>717</v>
      </c>
    </row>
    <row r="67" spans="1:15" x14ac:dyDescent="0.3">
      <c r="A67" s="11" t="s">
        <v>67</v>
      </c>
      <c r="B67" s="64">
        <v>-113</v>
      </c>
      <c r="C67" s="64">
        <v>-80</v>
      </c>
      <c r="D67" s="64">
        <v>-273</v>
      </c>
      <c r="E67" s="64">
        <v>647</v>
      </c>
      <c r="F67" s="64">
        <v>34</v>
      </c>
      <c r="G67" s="64">
        <v>-380</v>
      </c>
      <c r="H67" s="64">
        <v>-385</v>
      </c>
      <c r="I67" s="64">
        <v>-650</v>
      </c>
    </row>
    <row r="68" spans="1:15" x14ac:dyDescent="0.3">
      <c r="A68" s="11" t="s">
        <v>68</v>
      </c>
      <c r="B68" s="64">
        <v>191</v>
      </c>
      <c r="C68" s="64">
        <v>236</v>
      </c>
      <c r="D68" s="64">
        <v>215</v>
      </c>
      <c r="E68" s="64">
        <v>218</v>
      </c>
      <c r="F68" s="64">
        <v>325</v>
      </c>
      <c r="G68" s="64">
        <v>429</v>
      </c>
      <c r="H68" s="64">
        <v>611</v>
      </c>
      <c r="I68" s="64">
        <v>638</v>
      </c>
    </row>
    <row r="69" spans="1:15" x14ac:dyDescent="0.3">
      <c r="A69" s="11" t="s">
        <v>69</v>
      </c>
      <c r="B69" s="64">
        <v>43</v>
      </c>
      <c r="C69" s="64">
        <v>13</v>
      </c>
      <c r="D69" s="64">
        <v>10</v>
      </c>
      <c r="E69" s="64">
        <v>27</v>
      </c>
      <c r="F69" s="64">
        <v>15</v>
      </c>
      <c r="G69" s="64">
        <v>398</v>
      </c>
      <c r="H69" s="64">
        <v>53</v>
      </c>
      <c r="I69" s="64">
        <v>123</v>
      </c>
    </row>
    <row r="70" spans="1:15" x14ac:dyDescent="0.3">
      <c r="A70" s="11" t="s">
        <v>70</v>
      </c>
      <c r="B70" s="64">
        <v>424</v>
      </c>
      <c r="C70" s="64">
        <v>98</v>
      </c>
      <c r="D70" s="64">
        <v>-117</v>
      </c>
      <c r="E70" s="64">
        <v>-99</v>
      </c>
      <c r="F70" s="64">
        <v>233</v>
      </c>
      <c r="G70" s="64">
        <v>23</v>
      </c>
      <c r="H70" s="64">
        <v>-138</v>
      </c>
      <c r="I70" s="64">
        <v>-26</v>
      </c>
    </row>
    <row r="71" spans="1:15" x14ac:dyDescent="0.3">
      <c r="A71" s="2" t="s">
        <v>71</v>
      </c>
      <c r="B71" s="64"/>
      <c r="C71" s="64"/>
      <c r="D71" s="64"/>
      <c r="E71" s="64"/>
      <c r="F71" s="64"/>
      <c r="G71" s="64"/>
      <c r="H71" s="64"/>
      <c r="I71" s="64"/>
    </row>
    <row r="72" spans="1:15" x14ac:dyDescent="0.3">
      <c r="A72" s="11" t="s">
        <v>72</v>
      </c>
      <c r="B72" s="64">
        <v>-216</v>
      </c>
      <c r="C72" s="64">
        <v>60</v>
      </c>
      <c r="D72" s="64">
        <v>-426</v>
      </c>
      <c r="E72" s="64">
        <v>187</v>
      </c>
      <c r="F72" s="64">
        <v>-270</v>
      </c>
      <c r="G72" s="64">
        <v>1239</v>
      </c>
      <c r="H72" s="64">
        <v>-1606</v>
      </c>
      <c r="I72" s="64">
        <v>-504</v>
      </c>
    </row>
    <row r="73" spans="1:15" x14ac:dyDescent="0.3">
      <c r="A73" s="11" t="s">
        <v>73</v>
      </c>
      <c r="B73" s="64">
        <v>-621</v>
      </c>
      <c r="C73" s="64">
        <v>-590</v>
      </c>
      <c r="D73" s="64">
        <v>-231</v>
      </c>
      <c r="E73" s="64">
        <v>-255</v>
      </c>
      <c r="F73" s="64">
        <v>-490</v>
      </c>
      <c r="G73" s="64">
        <v>-1854</v>
      </c>
      <c r="H73" s="64">
        <v>507</v>
      </c>
      <c r="I73" s="64">
        <v>-1676</v>
      </c>
    </row>
    <row r="74" spans="1:15" x14ac:dyDescent="0.3">
      <c r="A74" s="11" t="s">
        <v>97</v>
      </c>
      <c r="B74" s="64">
        <v>-144</v>
      </c>
      <c r="C74" s="64">
        <v>-161</v>
      </c>
      <c r="D74" s="64">
        <v>-120</v>
      </c>
      <c r="E74" s="64">
        <v>35</v>
      </c>
      <c r="F74" s="64">
        <v>-203</v>
      </c>
      <c r="G74" s="64">
        <v>-654</v>
      </c>
      <c r="H74" s="64">
        <v>-182</v>
      </c>
      <c r="I74" s="64">
        <v>-845</v>
      </c>
    </row>
    <row r="75" spans="1:15" x14ac:dyDescent="0.3">
      <c r="A75" s="11" t="s">
        <v>96</v>
      </c>
      <c r="B75" s="64">
        <v>1237</v>
      </c>
      <c r="C75" s="64">
        <v>-586</v>
      </c>
      <c r="D75" s="64">
        <v>-158</v>
      </c>
      <c r="E75" s="64">
        <v>1515</v>
      </c>
      <c r="F75" s="64">
        <v>1525</v>
      </c>
      <c r="G75" s="64">
        <v>24</v>
      </c>
      <c r="H75" s="64">
        <v>1326</v>
      </c>
      <c r="I75" s="64">
        <v>1365</v>
      </c>
    </row>
    <row r="76" spans="1:15" x14ac:dyDescent="0.3">
      <c r="A76" s="69" t="s">
        <v>74</v>
      </c>
      <c r="B76" s="66">
        <f>+SUM(B64:B75)</f>
        <v>4680</v>
      </c>
      <c r="C76" s="66">
        <f t="shared" ref="C76:H76" si="13">+SUM(C64:C75)</f>
        <v>3399</v>
      </c>
      <c r="D76" s="66">
        <f t="shared" si="13"/>
        <v>3846</v>
      </c>
      <c r="E76" s="66">
        <f t="shared" si="13"/>
        <v>4955</v>
      </c>
      <c r="F76" s="66">
        <f t="shared" si="13"/>
        <v>5903</v>
      </c>
      <c r="G76" s="66">
        <f t="shared" si="13"/>
        <v>2485</v>
      </c>
      <c r="H76" s="66">
        <f t="shared" si="13"/>
        <v>6657</v>
      </c>
      <c r="I76" s="66">
        <f>+SUM(I64:I75)</f>
        <v>5188</v>
      </c>
    </row>
    <row r="77" spans="1:15" x14ac:dyDescent="0.3">
      <c r="A77" s="1" t="s">
        <v>75</v>
      </c>
      <c r="B77" s="64"/>
      <c r="C77" s="64"/>
      <c r="D77" s="64"/>
      <c r="E77" s="64"/>
      <c r="F77" s="64"/>
      <c r="G77" s="64"/>
      <c r="H77" s="64"/>
      <c r="I77" s="64"/>
    </row>
    <row r="78" spans="1:15" x14ac:dyDescent="0.3">
      <c r="A78" s="2" t="s">
        <v>76</v>
      </c>
      <c r="B78" s="64">
        <v>-4936</v>
      </c>
      <c r="C78" s="64">
        <v>-5367</v>
      </c>
      <c r="D78" s="64">
        <v>-5928</v>
      </c>
      <c r="E78" s="64">
        <v>-4783</v>
      </c>
      <c r="F78" s="64">
        <v>-2937</v>
      </c>
      <c r="G78" s="64">
        <v>-2426</v>
      </c>
      <c r="H78" s="64">
        <v>-9961</v>
      </c>
      <c r="I78" s="64">
        <v>-12913</v>
      </c>
      <c r="O78" s="53"/>
    </row>
    <row r="79" spans="1:15" x14ac:dyDescent="0.3">
      <c r="A79" s="2" t="s">
        <v>77</v>
      </c>
      <c r="B79" s="64">
        <v>3655</v>
      </c>
      <c r="C79" s="64">
        <v>2924</v>
      </c>
      <c r="D79" s="64">
        <v>3623</v>
      </c>
      <c r="E79" s="64">
        <v>3613</v>
      </c>
      <c r="F79" s="64">
        <v>1715</v>
      </c>
      <c r="G79" s="64">
        <v>74</v>
      </c>
      <c r="H79" s="64">
        <v>4236</v>
      </c>
      <c r="I79" s="64">
        <v>8199</v>
      </c>
    </row>
    <row r="80" spans="1:15" x14ac:dyDescent="0.3">
      <c r="A80" s="2" t="s">
        <v>78</v>
      </c>
      <c r="B80" s="64">
        <v>2216</v>
      </c>
      <c r="C80" s="64">
        <v>2386</v>
      </c>
      <c r="D80" s="64">
        <v>2423</v>
      </c>
      <c r="E80" s="64">
        <v>2496</v>
      </c>
      <c r="F80" s="64">
        <v>2072</v>
      </c>
      <c r="G80" s="64">
        <v>2379</v>
      </c>
      <c r="H80" s="64">
        <v>2449</v>
      </c>
      <c r="I80" s="64">
        <v>3967</v>
      </c>
    </row>
    <row r="81" spans="1:9" x14ac:dyDescent="0.3">
      <c r="A81" s="2" t="s">
        <v>200</v>
      </c>
      <c r="B81" s="64">
        <v>-150</v>
      </c>
      <c r="C81" s="64">
        <v>150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3">
      <c r="A82" s="2" t="s">
        <v>14</v>
      </c>
      <c r="B82" s="64">
        <v>-963</v>
      </c>
      <c r="C82" s="64">
        <v>-1143</v>
      </c>
      <c r="D82" s="64">
        <v>-1105</v>
      </c>
      <c r="E82" s="64">
        <v>-1028</v>
      </c>
      <c r="F82" s="64">
        <v>-1119</v>
      </c>
      <c r="G82" s="64">
        <v>-1086</v>
      </c>
      <c r="H82" s="64">
        <v>-695</v>
      </c>
      <c r="I82" s="64">
        <v>-758</v>
      </c>
    </row>
    <row r="83" spans="1:9" x14ac:dyDescent="0.3">
      <c r="A83" s="2" t="s">
        <v>201</v>
      </c>
      <c r="B83" s="64">
        <v>3</v>
      </c>
      <c r="C83" s="64">
        <v>10</v>
      </c>
      <c r="D83" s="64">
        <v>13</v>
      </c>
      <c r="E83" s="64">
        <v>3</v>
      </c>
      <c r="F83" s="64">
        <v>0</v>
      </c>
      <c r="G83" s="64">
        <v>0</v>
      </c>
      <c r="H83" s="64">
        <v>0</v>
      </c>
      <c r="I83" s="64">
        <v>0</v>
      </c>
    </row>
    <row r="84" spans="1:9" x14ac:dyDescent="0.3">
      <c r="A84" s="2" t="s">
        <v>79</v>
      </c>
      <c r="B84" s="64">
        <v>0</v>
      </c>
      <c r="C84" s="64">
        <v>6</v>
      </c>
      <c r="D84" s="64">
        <v>-34</v>
      </c>
      <c r="E84" s="64">
        <v>-25</v>
      </c>
      <c r="F84" s="64">
        <v>5</v>
      </c>
      <c r="G84" s="64">
        <v>31</v>
      </c>
      <c r="H84" s="64">
        <v>171</v>
      </c>
      <c r="I84" s="64">
        <v>-19</v>
      </c>
    </row>
    <row r="85" spans="1:9" x14ac:dyDescent="0.3">
      <c r="A85" s="65" t="s">
        <v>80</v>
      </c>
      <c r="B85" s="66">
        <f t="shared" ref="B85:H85" si="14">+SUM(B78:B84)</f>
        <v>-175</v>
      </c>
      <c r="C85" s="66">
        <f t="shared" si="14"/>
        <v>-1034</v>
      </c>
      <c r="D85" s="66">
        <f t="shared" si="14"/>
        <v>-1008</v>
      </c>
      <c r="E85" s="66">
        <f t="shared" si="14"/>
        <v>276</v>
      </c>
      <c r="F85" s="66">
        <f t="shared" si="14"/>
        <v>-264</v>
      </c>
      <c r="G85" s="66">
        <f t="shared" si="14"/>
        <v>-1028</v>
      </c>
      <c r="H85" s="66">
        <f t="shared" si="14"/>
        <v>-3800</v>
      </c>
      <c r="I85" s="66">
        <f>+SUM(I78:I84)</f>
        <v>-1524</v>
      </c>
    </row>
    <row r="86" spans="1:9" x14ac:dyDescent="0.3">
      <c r="A86" s="1" t="s">
        <v>81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3">
      <c r="A87" s="2" t="s">
        <v>82</v>
      </c>
      <c r="B87" s="64">
        <v>0</v>
      </c>
      <c r="C87" s="64">
        <v>981</v>
      </c>
      <c r="D87" s="64">
        <v>1482</v>
      </c>
      <c r="E87" s="64">
        <v>0</v>
      </c>
      <c r="F87" s="64">
        <v>0</v>
      </c>
      <c r="G87" s="64">
        <v>6134</v>
      </c>
      <c r="H87" s="64">
        <v>0</v>
      </c>
      <c r="I87" s="64">
        <v>0</v>
      </c>
    </row>
    <row r="88" spans="1:9" x14ac:dyDescent="0.3">
      <c r="A88" s="2" t="s">
        <v>83</v>
      </c>
      <c r="B88" s="64">
        <v>-63</v>
      </c>
      <c r="C88" s="64">
        <v>-67</v>
      </c>
      <c r="D88" s="64">
        <v>327</v>
      </c>
      <c r="E88" s="64">
        <v>13</v>
      </c>
      <c r="F88" s="64">
        <v>-325</v>
      </c>
      <c r="G88" s="64">
        <v>49</v>
      </c>
      <c r="H88" s="64">
        <v>-52</v>
      </c>
      <c r="I88" s="64">
        <v>15</v>
      </c>
    </row>
    <row r="89" spans="1:9" x14ac:dyDescent="0.3">
      <c r="A89" s="2" t="s">
        <v>84</v>
      </c>
      <c r="B89" s="64">
        <v>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-197</v>
      </c>
      <c r="I89" s="64">
        <v>0</v>
      </c>
    </row>
    <row r="90" spans="1:9" x14ac:dyDescent="0.3">
      <c r="A90" s="2" t="s">
        <v>85</v>
      </c>
      <c r="B90" s="64">
        <v>514</v>
      </c>
      <c r="C90" s="64">
        <v>507</v>
      </c>
      <c r="D90" s="64">
        <v>489</v>
      </c>
      <c r="E90" s="64">
        <v>733</v>
      </c>
      <c r="F90" s="64">
        <v>700</v>
      </c>
      <c r="G90" s="64">
        <v>885</v>
      </c>
      <c r="H90" s="64">
        <v>1172</v>
      </c>
      <c r="I90" s="64">
        <v>1151</v>
      </c>
    </row>
    <row r="91" spans="1:9" x14ac:dyDescent="0.3">
      <c r="A91" s="2" t="s">
        <v>16</v>
      </c>
      <c r="B91" s="64">
        <v>-2534</v>
      </c>
      <c r="C91" s="64">
        <v>-3238</v>
      </c>
      <c r="D91" s="64">
        <v>-3223</v>
      </c>
      <c r="E91" s="64">
        <v>-4254</v>
      </c>
      <c r="F91" s="64">
        <v>-4286</v>
      </c>
      <c r="G91" s="64">
        <v>-3067</v>
      </c>
      <c r="H91" s="64">
        <v>-608</v>
      </c>
      <c r="I91" s="64">
        <v>-4014</v>
      </c>
    </row>
    <row r="92" spans="1:9" x14ac:dyDescent="0.3">
      <c r="A92" s="2" t="s">
        <v>86</v>
      </c>
      <c r="B92" s="64">
        <v>-899</v>
      </c>
      <c r="C92" s="64">
        <v>-1022</v>
      </c>
      <c r="D92" s="64">
        <v>-1133</v>
      </c>
      <c r="E92" s="64">
        <v>-1243</v>
      </c>
      <c r="F92" s="64">
        <v>-1332</v>
      </c>
      <c r="G92" s="64">
        <v>-1452</v>
      </c>
      <c r="H92" s="64">
        <v>-1638</v>
      </c>
      <c r="I92" s="64">
        <v>-1837</v>
      </c>
    </row>
    <row r="93" spans="1:9" x14ac:dyDescent="0.3">
      <c r="A93" s="2" t="s">
        <v>202</v>
      </c>
      <c r="B93" s="64">
        <f>-7-19+218</f>
        <v>192</v>
      </c>
      <c r="C93" s="64">
        <f>-106-7-22</f>
        <v>-135</v>
      </c>
      <c r="D93" s="64">
        <f>-44-17-29</f>
        <v>-90</v>
      </c>
      <c r="E93" s="64">
        <v>-84</v>
      </c>
      <c r="F93" s="64">
        <v>-50</v>
      </c>
      <c r="G93" s="64">
        <v>-58</v>
      </c>
      <c r="H93" s="64">
        <v>-136</v>
      </c>
      <c r="I93" s="64">
        <v>-151</v>
      </c>
    </row>
    <row r="94" spans="1:9" x14ac:dyDescent="0.3">
      <c r="A94" s="65" t="s">
        <v>87</v>
      </c>
      <c r="B94" s="66">
        <f t="shared" ref="B94:H94" si="15">+SUM(B87:B93)</f>
        <v>-2790</v>
      </c>
      <c r="C94" s="66">
        <f t="shared" si="15"/>
        <v>-2974</v>
      </c>
      <c r="D94" s="66">
        <f t="shared" si="15"/>
        <v>-2148</v>
      </c>
      <c r="E94" s="66">
        <f t="shared" si="15"/>
        <v>-4835</v>
      </c>
      <c r="F94" s="66">
        <f t="shared" si="15"/>
        <v>-5293</v>
      </c>
      <c r="G94" s="66">
        <f t="shared" si="15"/>
        <v>2491</v>
      </c>
      <c r="H94" s="66">
        <f t="shared" si="15"/>
        <v>-1459</v>
      </c>
      <c r="I94" s="66">
        <f>+SUM(I87:I93)</f>
        <v>-4836</v>
      </c>
    </row>
    <row r="95" spans="1:9" x14ac:dyDescent="0.3">
      <c r="A95" s="2" t="s">
        <v>88</v>
      </c>
      <c r="B95" s="64">
        <v>-83</v>
      </c>
      <c r="C95" s="64">
        <v>-105</v>
      </c>
      <c r="D95" s="64">
        <v>-20</v>
      </c>
      <c r="E95" s="64">
        <v>45</v>
      </c>
      <c r="F95" s="64">
        <v>-129</v>
      </c>
      <c r="G95" s="64">
        <v>-66</v>
      </c>
      <c r="H95" s="64">
        <v>143</v>
      </c>
      <c r="I95" s="64">
        <v>-143</v>
      </c>
    </row>
    <row r="96" spans="1:9" x14ac:dyDescent="0.3">
      <c r="A96" s="65" t="s">
        <v>89</v>
      </c>
      <c r="B96" s="66">
        <f>+B76+B85+B94+B95</f>
        <v>1632</v>
      </c>
      <c r="C96" s="66">
        <f t="shared" ref="C96:H96" si="16">+C76+C85+C94+C95</f>
        <v>-714</v>
      </c>
      <c r="D96" s="66">
        <f t="shared" si="16"/>
        <v>670</v>
      </c>
      <c r="E96" s="66">
        <f t="shared" si="16"/>
        <v>441</v>
      </c>
      <c r="F96" s="66">
        <f t="shared" si="16"/>
        <v>217</v>
      </c>
      <c r="G96" s="66">
        <f t="shared" si="16"/>
        <v>3882</v>
      </c>
      <c r="H96" s="66">
        <f t="shared" si="16"/>
        <v>1541</v>
      </c>
      <c r="I96" s="66">
        <f>+I76+I85+I94+I95</f>
        <v>-1315</v>
      </c>
    </row>
    <row r="97" spans="1:9" x14ac:dyDescent="0.3">
      <c r="A97" t="s">
        <v>90</v>
      </c>
      <c r="B97" s="64">
        <v>2220</v>
      </c>
      <c r="C97" s="64">
        <v>3852</v>
      </c>
      <c r="D97" s="64">
        <v>3138</v>
      </c>
      <c r="E97" s="64">
        <v>3808</v>
      </c>
      <c r="F97" s="64">
        <v>4249</v>
      </c>
      <c r="G97" s="64">
        <v>4466</v>
      </c>
      <c r="H97" s="64">
        <f>+G98</f>
        <v>8348</v>
      </c>
      <c r="I97" s="64">
        <f>+H98</f>
        <v>9889</v>
      </c>
    </row>
    <row r="98" spans="1:9" ht="15" thickBot="1" x14ac:dyDescent="0.35">
      <c r="A98" s="6" t="s">
        <v>91</v>
      </c>
      <c r="B98" s="68">
        <f>+B96+B97</f>
        <v>3852</v>
      </c>
      <c r="C98" s="68">
        <f>+C96+C97</f>
        <v>3138</v>
      </c>
      <c r="D98" s="68">
        <f t="shared" ref="D98:G98" si="17">+D96+D97</f>
        <v>3808</v>
      </c>
      <c r="E98" s="68">
        <f t="shared" si="17"/>
        <v>4249</v>
      </c>
      <c r="F98" s="68">
        <f t="shared" si="17"/>
        <v>4466</v>
      </c>
      <c r="G98" s="68">
        <f t="shared" si="17"/>
        <v>8348</v>
      </c>
      <c r="H98" s="68">
        <f>+H96+H97</f>
        <v>9889</v>
      </c>
      <c r="I98" s="68">
        <f>+I96+I97</f>
        <v>8574</v>
      </c>
    </row>
    <row r="99" spans="1:9" s="12" customFormat="1" ht="15" thickTop="1" x14ac:dyDescent="0.3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203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">
      <c r="A129" s="2" t="s">
        <v>204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">
      <c r="A133" s="2" t="s">
        <v>205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">
      <c r="A137" s="2" t="s">
        <v>206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">
      <c r="A151" s="1" t="s">
        <v>109</v>
      </c>
    </row>
    <row r="152" spans="1:9" x14ac:dyDescent="0.3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">
      <c r="A156" s="55" t="s">
        <v>203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">
      <c r="A157" s="55" t="s">
        <v>204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55" t="s">
        <v>205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55" t="s">
        <v>206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">
      <c r="A166" s="1" t="s">
        <v>116</v>
      </c>
    </row>
    <row r="167" spans="1:9" x14ac:dyDescent="0.3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55" t="s">
        <v>207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35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">
      <c r="A178" s="1" t="s">
        <v>121</v>
      </c>
    </row>
    <row r="179" spans="1:9" x14ac:dyDescent="0.3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">
      <c r="A183" s="55" t="s">
        <v>207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35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">
      <c r="A190" s="1" t="s">
        <v>123</v>
      </c>
    </row>
    <row r="191" spans="1:9" x14ac:dyDescent="0.3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">
      <c r="A195" s="55" t="s">
        <v>207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35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">
      <c r="A203" s="26" t="s">
        <v>126</v>
      </c>
    </row>
    <row r="204" spans="1:9" x14ac:dyDescent="0.3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">
      <c r="A220" s="30" t="s">
        <v>203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">
      <c r="A224" s="30" t="s">
        <v>204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">
      <c r="A228" s="30" t="s">
        <v>205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">
      <c r="A232" s="30" t="s">
        <v>206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35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opLeftCell="A183" workbookViewId="0">
      <selection activeCell="I5" sqref="I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">
      <c r="A3" s="35" t="s">
        <v>138</v>
      </c>
      <c r="B3" s="9">
        <f>B21+B52+B85+B118+B151+B172+B179+B198</f>
        <v>30601</v>
      </c>
      <c r="C3" s="9">
        <f t="shared" ref="C3:N3" si="2">C21+C52+C85+C118+C151+C172+C179+C198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36" t="s">
        <v>128</v>
      </c>
      <c r="B4" s="41" t="str">
        <f t="shared" ref="B4:H4" si="3">+IFERROR(B3/A3-1,"nm")</f>
        <v>nm</v>
      </c>
      <c r="C4" s="41">
        <f t="shared" si="3"/>
        <v>5.8004640371229765E-2</v>
      </c>
      <c r="D4" s="41">
        <f t="shared" si="3"/>
        <v>6.0971089696071123E-2</v>
      </c>
      <c r="E4" s="41">
        <f t="shared" si="3"/>
        <v>5.95924308588065E-2</v>
      </c>
      <c r="F4" s="41">
        <f t="shared" si="3"/>
        <v>7.4731433909388079E-2</v>
      </c>
      <c r="G4" s="41">
        <f t="shared" si="3"/>
        <v>-4.3817266150267153E-2</v>
      </c>
      <c r="H4" s="41">
        <f t="shared" si="3"/>
        <v>0.19076009945726269</v>
      </c>
      <c r="I4" s="41">
        <f>+IFERROR(I3/H3-1,"nm")</f>
        <v>4.8767344739323759E-2</v>
      </c>
      <c r="J4" s="41">
        <f t="shared" ref="J4:N4" si="4">+IFERROR(J3/I3-1,"nm")</f>
        <v>0</v>
      </c>
      <c r="K4" s="41">
        <f t="shared" si="4"/>
        <v>0</v>
      </c>
      <c r="L4" s="41">
        <f t="shared" si="4"/>
        <v>0</v>
      </c>
      <c r="M4" s="41">
        <f t="shared" si="4"/>
        <v>0</v>
      </c>
      <c r="N4" s="41">
        <f t="shared" si="4"/>
        <v>0</v>
      </c>
    </row>
    <row r="5" spans="1:15" x14ac:dyDescent="0.3">
      <c r="A5" s="35" t="s">
        <v>129</v>
      </c>
      <c r="B5" s="9">
        <f>B35+B68+B101+B134+B155+B173+B181+B200</f>
        <v>4839</v>
      </c>
      <c r="C5" s="9">
        <f t="shared" ref="C5:N5" si="5">C35+C68+C101+C134+C155+C173+C181+C200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7573</v>
      </c>
      <c r="K5" s="9">
        <f t="shared" si="5"/>
        <v>7573</v>
      </c>
      <c r="L5" s="9">
        <f t="shared" si="5"/>
        <v>7573</v>
      </c>
      <c r="M5" s="9">
        <f t="shared" si="5"/>
        <v>7573</v>
      </c>
      <c r="N5" s="9">
        <f t="shared" si="5"/>
        <v>7573</v>
      </c>
      <c r="O5" t="s">
        <v>142</v>
      </c>
    </row>
    <row r="6" spans="1:15" x14ac:dyDescent="0.3">
      <c r="A6" s="36" t="s">
        <v>128</v>
      </c>
      <c r="B6" s="41" t="str">
        <f t="shared" ref="B6:H6" si="6">+IFERROR(B5/A5-1,"nm")</f>
        <v>nm</v>
      </c>
      <c r="C6" s="41">
        <f t="shared" si="6"/>
        <v>9.3407728869601137E-2</v>
      </c>
      <c r="D6" s="41">
        <f t="shared" si="6"/>
        <v>6.8040068040068125E-2</v>
      </c>
      <c r="E6" s="41">
        <f t="shared" si="6"/>
        <v>-9.2903910812245583E-2</v>
      </c>
      <c r="F6" s="41">
        <f t="shared" si="6"/>
        <v>8.3690987124463545E-2</v>
      </c>
      <c r="G6" s="41">
        <f t="shared" si="6"/>
        <v>-0.3344734473447345</v>
      </c>
      <c r="H6" s="41">
        <f t="shared" si="6"/>
        <v>1.0738436570192049</v>
      </c>
      <c r="I6" s="41">
        <f>+IFERROR(I5/H5-1,"nm")</f>
        <v>-1.2260336507108338E-2</v>
      </c>
      <c r="J6" s="41">
        <f t="shared" ref="J6:N6" si="7">+IFERROR(J5/I5-1,"nm")</f>
        <v>0</v>
      </c>
      <c r="K6" s="41">
        <f t="shared" si="7"/>
        <v>0</v>
      </c>
      <c r="L6" s="41">
        <f t="shared" si="7"/>
        <v>0</v>
      </c>
      <c r="M6" s="41">
        <f t="shared" si="7"/>
        <v>0</v>
      </c>
      <c r="N6" s="41">
        <f t="shared" si="7"/>
        <v>0</v>
      </c>
    </row>
    <row r="7" spans="1:15" x14ac:dyDescent="0.3">
      <c r="A7" s="36" t="s">
        <v>130</v>
      </c>
      <c r="B7" s="41">
        <f t="shared" ref="B7:N7" si="8">+IFERROR(B5/B$3,"nm")</f>
        <v>0.15813208718669325</v>
      </c>
      <c r="C7" s="41">
        <f t="shared" si="8"/>
        <v>0.16342352359772672</v>
      </c>
      <c r="D7" s="41">
        <f t="shared" si="8"/>
        <v>0.16451237263464338</v>
      </c>
      <c r="E7" s="41">
        <f t="shared" si="8"/>
        <v>0.14083578316894249</v>
      </c>
      <c r="F7" s="41">
        <f t="shared" si="8"/>
        <v>0.14200986783240024</v>
      </c>
      <c r="G7" s="41">
        <f t="shared" si="8"/>
        <v>9.8842338849824879E-2</v>
      </c>
      <c r="H7" s="41">
        <f t="shared" si="8"/>
        <v>0.17214513449189456</v>
      </c>
      <c r="I7" s="41">
        <f t="shared" si="8"/>
        <v>0.16212802397773496</v>
      </c>
      <c r="J7" s="41">
        <f t="shared" si="8"/>
        <v>0.16212802397773496</v>
      </c>
      <c r="K7" s="41">
        <f t="shared" si="8"/>
        <v>0.16212802397773496</v>
      </c>
      <c r="L7" s="41">
        <f t="shared" si="8"/>
        <v>0.16212802397773496</v>
      </c>
      <c r="M7" s="41">
        <f t="shared" si="8"/>
        <v>0.16212802397773496</v>
      </c>
      <c r="N7" s="41">
        <f t="shared" si="8"/>
        <v>0.16212802397773496</v>
      </c>
    </row>
    <row r="8" spans="1:15" x14ac:dyDescent="0.3">
      <c r="A8" s="35" t="s">
        <v>131</v>
      </c>
      <c r="B8" s="9">
        <f>B38+B71+B104+B137+B158+B174+B184+B203</f>
        <v>606</v>
      </c>
      <c r="C8" s="9">
        <f t="shared" ref="C8:N8" si="9">C38+C71+C104+C137+C158+C174+C184+C203</f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717</v>
      </c>
      <c r="K8" s="9">
        <f t="shared" si="9"/>
        <v>717</v>
      </c>
      <c r="L8" s="9">
        <f t="shared" si="9"/>
        <v>717</v>
      </c>
      <c r="M8" s="9">
        <f t="shared" si="9"/>
        <v>717</v>
      </c>
      <c r="N8" s="9">
        <f t="shared" si="9"/>
        <v>717</v>
      </c>
      <c r="O8" t="s">
        <v>143</v>
      </c>
    </row>
    <row r="9" spans="1:15" x14ac:dyDescent="0.3">
      <c r="A9" s="36" t="s">
        <v>128</v>
      </c>
      <c r="B9" s="41" t="str">
        <f t="shared" ref="B9:N9" si="10">+IFERROR(B8/A8-1,"nm")</f>
        <v>nm</v>
      </c>
      <c r="C9" s="41">
        <f t="shared" si="10"/>
        <v>7.0957095709570872E-2</v>
      </c>
      <c r="D9" s="41">
        <f t="shared" si="10"/>
        <v>8.7827426810477727E-2</v>
      </c>
      <c r="E9" s="41">
        <f t="shared" si="10"/>
        <v>5.8073654390934815E-2</v>
      </c>
      <c r="F9" s="41">
        <f t="shared" si="10"/>
        <v>-5.6224899598393607E-2</v>
      </c>
      <c r="G9" s="41">
        <f t="shared" si="10"/>
        <v>2.2695035460992941E-2</v>
      </c>
      <c r="H9" s="41">
        <f t="shared" si="10"/>
        <v>3.1900138696255187E-2</v>
      </c>
      <c r="I9" s="41">
        <f t="shared" si="10"/>
        <v>-3.6290322580645129E-2</v>
      </c>
      <c r="J9" s="41">
        <f t="shared" si="10"/>
        <v>0</v>
      </c>
      <c r="K9" s="41">
        <f t="shared" si="10"/>
        <v>0</v>
      </c>
      <c r="L9" s="41">
        <f t="shared" si="10"/>
        <v>0</v>
      </c>
      <c r="M9" s="41">
        <f t="shared" si="10"/>
        <v>0</v>
      </c>
      <c r="N9" s="41">
        <f t="shared" si="10"/>
        <v>0</v>
      </c>
    </row>
    <row r="10" spans="1:15" x14ac:dyDescent="0.3">
      <c r="A10" s="36" t="s">
        <v>132</v>
      </c>
      <c r="B10" s="41">
        <f t="shared" ref="B10:N10" si="11">+IFERROR(B8/B$3,"nm")</f>
        <v>1.9803274402797295E-2</v>
      </c>
      <c r="C10" s="41">
        <f t="shared" si="11"/>
        <v>2.0045712873733631E-2</v>
      </c>
      <c r="D10" s="41">
        <f t="shared" si="11"/>
        <v>2.0553129548762736E-2</v>
      </c>
      <c r="E10" s="41">
        <f t="shared" si="11"/>
        <v>2.0523669533203285E-2</v>
      </c>
      <c r="F10" s="41">
        <f t="shared" si="11"/>
        <v>1.8022854513382928E-2</v>
      </c>
      <c r="G10" s="41">
        <f t="shared" si="11"/>
        <v>1.9276528620698875E-2</v>
      </c>
      <c r="H10" s="41">
        <f t="shared" si="11"/>
        <v>1.6704836319547355E-2</v>
      </c>
      <c r="I10" s="41">
        <f t="shared" si="11"/>
        <v>1.5350032113037893E-2</v>
      </c>
      <c r="J10" s="41">
        <f t="shared" si="11"/>
        <v>1.5350032113037893E-2</v>
      </c>
      <c r="K10" s="41">
        <f t="shared" si="11"/>
        <v>1.5350032113037893E-2</v>
      </c>
      <c r="L10" s="41">
        <f t="shared" si="11"/>
        <v>1.5350032113037893E-2</v>
      </c>
      <c r="M10" s="41">
        <f t="shared" si="11"/>
        <v>1.5350032113037893E-2</v>
      </c>
      <c r="N10" s="41">
        <f t="shared" si="11"/>
        <v>1.5350032113037893E-2</v>
      </c>
    </row>
    <row r="11" spans="1:15" x14ac:dyDescent="0.3">
      <c r="A11" s="35" t="s">
        <v>133</v>
      </c>
      <c r="B11" s="9">
        <f>B5-B8</f>
        <v>4233</v>
      </c>
      <c r="C11" s="9">
        <f t="shared" ref="C11:N11" si="12">C5-C8</f>
        <v>4642</v>
      </c>
      <c r="D11" s="9">
        <f t="shared" si="12"/>
        <v>4945</v>
      </c>
      <c r="E11" s="9">
        <f t="shared" si="12"/>
        <v>4379</v>
      </c>
      <c r="F11" s="9">
        <f t="shared" si="12"/>
        <v>4850</v>
      </c>
      <c r="G11" s="9">
        <f t="shared" si="12"/>
        <v>2976</v>
      </c>
      <c r="H11" s="9">
        <f t="shared" si="12"/>
        <v>6923</v>
      </c>
      <c r="I11" s="9">
        <f t="shared" si="12"/>
        <v>6856</v>
      </c>
      <c r="J11" s="9">
        <f t="shared" si="12"/>
        <v>6856</v>
      </c>
      <c r="K11" s="9">
        <f t="shared" si="12"/>
        <v>6856</v>
      </c>
      <c r="L11" s="9">
        <f t="shared" si="12"/>
        <v>6856</v>
      </c>
      <c r="M11" s="9">
        <f t="shared" si="12"/>
        <v>6856</v>
      </c>
      <c r="N11" s="9">
        <f t="shared" si="12"/>
        <v>6856</v>
      </c>
      <c r="O11" t="s">
        <v>144</v>
      </c>
    </row>
    <row r="12" spans="1:15" x14ac:dyDescent="0.3">
      <c r="A12" s="36" t="s">
        <v>128</v>
      </c>
      <c r="B12" s="41" t="str">
        <f t="shared" ref="B12:H12" si="13">+IFERROR(B11/A11-1,"nm")</f>
        <v>nm</v>
      </c>
      <c r="C12" s="41">
        <f t="shared" si="13"/>
        <v>9.6621781242617555E-2</v>
      </c>
      <c r="D12" s="41">
        <f t="shared" si="13"/>
        <v>6.5273588970271357E-2</v>
      </c>
      <c r="E12" s="41">
        <f t="shared" si="13"/>
        <v>-0.11445904954499497</v>
      </c>
      <c r="F12" s="41">
        <f t="shared" si="13"/>
        <v>0.10755880337976698</v>
      </c>
      <c r="G12" s="41">
        <f t="shared" si="13"/>
        <v>-0.38639175257731961</v>
      </c>
      <c r="H12" s="41">
        <f t="shared" si="13"/>
        <v>1.32627688172043</v>
      </c>
      <c r="I12" s="41">
        <f>+IFERROR(I11/H11-1,"nm")</f>
        <v>-9.67788530983682E-3</v>
      </c>
      <c r="J12" s="41">
        <f t="shared" ref="J12:N12" si="14">+IFERROR(J11/I11-1,"nm")</f>
        <v>0</v>
      </c>
      <c r="K12" s="41">
        <f t="shared" si="14"/>
        <v>0</v>
      </c>
      <c r="L12" s="41">
        <f t="shared" si="14"/>
        <v>0</v>
      </c>
      <c r="M12" s="41">
        <f t="shared" si="14"/>
        <v>0</v>
      </c>
      <c r="N12" s="41">
        <f t="shared" si="14"/>
        <v>0</v>
      </c>
    </row>
    <row r="13" spans="1:15" x14ac:dyDescent="0.3">
      <c r="A13" s="36" t="s">
        <v>130</v>
      </c>
      <c r="B13" s="41">
        <f t="shared" ref="B13:N13" si="15">+IFERROR(B11/B$3,"nm")</f>
        <v>0.13832881278389594</v>
      </c>
      <c r="C13" s="41">
        <f t="shared" si="15"/>
        <v>0.14337781072399308</v>
      </c>
      <c r="D13" s="41">
        <f t="shared" si="15"/>
        <v>0.14395924308588065</v>
      </c>
      <c r="E13" s="41">
        <f t="shared" si="15"/>
        <v>0.12031211363573921</v>
      </c>
      <c r="F13" s="41">
        <f t="shared" si="15"/>
        <v>0.12398701331901731</v>
      </c>
      <c r="G13" s="41">
        <f t="shared" si="15"/>
        <v>7.9565810229126011E-2</v>
      </c>
      <c r="H13" s="41">
        <f t="shared" si="15"/>
        <v>0.1554402981723472</v>
      </c>
      <c r="I13" s="41">
        <f t="shared" si="15"/>
        <v>0.14677799186469706</v>
      </c>
      <c r="J13" s="41">
        <f t="shared" si="15"/>
        <v>0.14677799186469706</v>
      </c>
      <c r="K13" s="41">
        <f t="shared" si="15"/>
        <v>0.14677799186469706</v>
      </c>
      <c r="L13" s="41">
        <f t="shared" si="15"/>
        <v>0.14677799186469706</v>
      </c>
      <c r="M13" s="41">
        <f t="shared" si="15"/>
        <v>0.14677799186469706</v>
      </c>
      <c r="N13" s="41">
        <f t="shared" si="15"/>
        <v>0.14677799186469706</v>
      </c>
    </row>
    <row r="14" spans="1:15" x14ac:dyDescent="0.3">
      <c r="A14" s="35" t="s">
        <v>134</v>
      </c>
      <c r="B14" s="42">
        <f>B45+B78+B111+B144+B165+B176+B191+B210</f>
        <v>0</v>
      </c>
      <c r="C14" s="42">
        <f t="shared" ref="C14:N14" si="16">C45+C78+C111+C144+C165+C176+C191+C210</f>
        <v>0</v>
      </c>
      <c r="D14" s="42">
        <f t="shared" si="16"/>
        <v>0</v>
      </c>
      <c r="E14" s="42">
        <f t="shared" si="16"/>
        <v>0</v>
      </c>
      <c r="F14" s="42">
        <f t="shared" si="16"/>
        <v>0</v>
      </c>
      <c r="G14" s="42">
        <f t="shared" si="16"/>
        <v>0</v>
      </c>
      <c r="H14" s="42">
        <f t="shared" si="16"/>
        <v>0</v>
      </c>
      <c r="I14" s="42">
        <f t="shared" si="16"/>
        <v>0</v>
      </c>
      <c r="J14" s="42">
        <f t="shared" si="16"/>
        <v>0</v>
      </c>
      <c r="K14" s="42">
        <f t="shared" si="16"/>
        <v>0</v>
      </c>
      <c r="L14" s="42">
        <f t="shared" si="16"/>
        <v>0</v>
      </c>
      <c r="M14" s="42">
        <f t="shared" si="16"/>
        <v>0</v>
      </c>
      <c r="N14" s="42">
        <f t="shared" si="16"/>
        <v>0</v>
      </c>
      <c r="O14" t="s">
        <v>145</v>
      </c>
    </row>
    <row r="15" spans="1:15" x14ac:dyDescent="0.3">
      <c r="A15" s="36" t="s">
        <v>128</v>
      </c>
      <c r="B15" s="41" t="str">
        <f t="shared" ref="B15:H15" si="17">+IFERROR(B14/A14-1,"nm")</f>
        <v>nm</v>
      </c>
      <c r="C15" s="41" t="str">
        <f t="shared" si="17"/>
        <v>nm</v>
      </c>
      <c r="D15" s="41" t="str">
        <f t="shared" si="17"/>
        <v>nm</v>
      </c>
      <c r="E15" s="41" t="str">
        <f t="shared" si="17"/>
        <v>nm</v>
      </c>
      <c r="F15" s="41" t="str">
        <f t="shared" si="17"/>
        <v>nm</v>
      </c>
      <c r="G15" s="41" t="str">
        <f t="shared" si="17"/>
        <v>nm</v>
      </c>
      <c r="H15" s="41" t="str">
        <f t="shared" si="17"/>
        <v>nm</v>
      </c>
      <c r="I15" s="41" t="str">
        <f>+IFERROR(I14/H14-1,"nm")</f>
        <v>nm</v>
      </c>
      <c r="J15" s="41" t="str">
        <f t="shared" ref="J15:N15" si="18">+IFERROR(J14/I14-1,"nm")</f>
        <v>nm</v>
      </c>
      <c r="K15" s="41" t="str">
        <f t="shared" si="18"/>
        <v>nm</v>
      </c>
      <c r="L15" s="41" t="str">
        <f t="shared" si="18"/>
        <v>nm</v>
      </c>
      <c r="M15" s="41" t="str">
        <f t="shared" si="18"/>
        <v>nm</v>
      </c>
      <c r="N15" s="41" t="str">
        <f t="shared" si="18"/>
        <v>nm</v>
      </c>
    </row>
    <row r="16" spans="1:15" x14ac:dyDescent="0.3">
      <c r="A16" s="36" t="s">
        <v>132</v>
      </c>
      <c r="B16" s="41">
        <f t="shared" ref="B16:N16" si="19">+IFERROR(B14/B$3,"nm")</f>
        <v>0</v>
      </c>
      <c r="C16" s="41">
        <f t="shared" si="19"/>
        <v>0</v>
      </c>
      <c r="D16" s="41">
        <f t="shared" si="19"/>
        <v>0</v>
      </c>
      <c r="E16" s="41">
        <f t="shared" si="19"/>
        <v>0</v>
      </c>
      <c r="F16" s="41">
        <f t="shared" si="19"/>
        <v>0</v>
      </c>
      <c r="G16" s="41">
        <f t="shared" si="19"/>
        <v>0</v>
      </c>
      <c r="H16" s="41">
        <f t="shared" si="19"/>
        <v>0</v>
      </c>
      <c r="I16" s="41">
        <f t="shared" si="19"/>
        <v>0</v>
      </c>
      <c r="J16" s="41">
        <f t="shared" si="19"/>
        <v>0</v>
      </c>
      <c r="K16" s="41">
        <f t="shared" si="19"/>
        <v>0</v>
      </c>
      <c r="L16" s="41">
        <f t="shared" si="19"/>
        <v>0</v>
      </c>
      <c r="M16" s="41">
        <f t="shared" si="19"/>
        <v>0</v>
      </c>
      <c r="N16" s="41">
        <f t="shared" si="19"/>
        <v>0</v>
      </c>
    </row>
    <row r="17" spans="1:15" x14ac:dyDescent="0.3">
      <c r="A17" s="9" t="s">
        <v>140</v>
      </c>
      <c r="B17" s="42">
        <f>B48+B81+B114+B147+B168+B177+B194+B213</f>
        <v>3011</v>
      </c>
      <c r="C17" s="42">
        <f t="shared" ref="C17:N17" si="20">C48+C81+C114+C147+C168+C177+C194+C213</f>
        <v>3520</v>
      </c>
      <c r="D17" s="42">
        <f t="shared" si="20"/>
        <v>3989</v>
      </c>
      <c r="E17" s="42">
        <f t="shared" si="20"/>
        <v>4454</v>
      </c>
      <c r="F17" s="42">
        <f t="shared" si="20"/>
        <v>4744</v>
      </c>
      <c r="G17" s="42">
        <f t="shared" si="20"/>
        <v>4866</v>
      </c>
      <c r="H17" s="42">
        <f t="shared" si="20"/>
        <v>4904</v>
      </c>
      <c r="I17" s="42">
        <f t="shared" si="20"/>
        <v>4791</v>
      </c>
      <c r="J17" s="42">
        <f t="shared" si="20"/>
        <v>4791</v>
      </c>
      <c r="K17" s="42">
        <f t="shared" si="20"/>
        <v>4791</v>
      </c>
      <c r="L17" s="42">
        <f t="shared" si="20"/>
        <v>4791</v>
      </c>
      <c r="M17" s="42">
        <f t="shared" si="20"/>
        <v>4791</v>
      </c>
      <c r="N17" s="42">
        <f t="shared" si="20"/>
        <v>4791</v>
      </c>
      <c r="O17" t="s">
        <v>146</v>
      </c>
    </row>
    <row r="18" spans="1:15" x14ac:dyDescent="0.3">
      <c r="A18" s="36" t="s">
        <v>128</v>
      </c>
      <c r="B18" s="41" t="str">
        <f t="shared" ref="B18:H18" si="21">+IFERROR(B17/A17-1,"nm")</f>
        <v>nm</v>
      </c>
      <c r="C18" s="41">
        <f t="shared" si="21"/>
        <v>0.16904682829624718</v>
      </c>
      <c r="D18" s="41">
        <f t="shared" si="21"/>
        <v>0.13323863636363642</v>
      </c>
      <c r="E18" s="41">
        <f t="shared" si="21"/>
        <v>0.11657056906492858</v>
      </c>
      <c r="F18" s="41">
        <f t="shared" si="21"/>
        <v>6.5110013471037176E-2</v>
      </c>
      <c r="G18" s="41">
        <f t="shared" si="21"/>
        <v>2.5716694772343951E-2</v>
      </c>
      <c r="H18" s="41">
        <f t="shared" si="21"/>
        <v>7.8092889436909285E-3</v>
      </c>
      <c r="I18" s="41">
        <f>+IFERROR(I17/H17-1,"nm")</f>
        <v>-2.3042414355628038E-2</v>
      </c>
      <c r="J18" s="41">
        <f t="shared" ref="J18:N18" si="22">+IFERROR(J17/I17-1,"nm")</f>
        <v>0</v>
      </c>
      <c r="K18" s="41">
        <f t="shared" si="22"/>
        <v>0</v>
      </c>
      <c r="L18" s="41">
        <f t="shared" si="22"/>
        <v>0</v>
      </c>
      <c r="M18" s="41">
        <f t="shared" si="22"/>
        <v>0</v>
      </c>
      <c r="N18" s="41">
        <f t="shared" si="22"/>
        <v>0</v>
      </c>
    </row>
    <row r="19" spans="1:15" x14ac:dyDescent="0.3">
      <c r="A19" s="36" t="s">
        <v>132</v>
      </c>
      <c r="B19" s="41">
        <f t="shared" ref="B19:N19" si="23">+IFERROR(B17/B$3,"nm")</f>
        <v>9.8395477271984569E-2</v>
      </c>
      <c r="C19" s="41">
        <f t="shared" si="23"/>
        <v>0.10872251050160613</v>
      </c>
      <c r="D19" s="41">
        <f t="shared" si="23"/>
        <v>0.11612809315866085</v>
      </c>
      <c r="E19" s="41">
        <f t="shared" si="23"/>
        <v>0.12237272302662307</v>
      </c>
      <c r="F19" s="41">
        <f t="shared" si="23"/>
        <v>0.1212771940588491</v>
      </c>
      <c r="G19" s="41">
        <f t="shared" si="23"/>
        <v>0.13009651632222013</v>
      </c>
      <c r="H19" s="41">
        <f t="shared" si="23"/>
        <v>0.11010822219228523</v>
      </c>
      <c r="I19" s="41">
        <f t="shared" si="23"/>
        <v>0.10256904303147078</v>
      </c>
      <c r="J19" s="41">
        <f t="shared" si="23"/>
        <v>0.10256904303147078</v>
      </c>
      <c r="K19" s="41">
        <f t="shared" si="23"/>
        <v>0.10256904303147078</v>
      </c>
      <c r="L19" s="41">
        <f t="shared" si="23"/>
        <v>0.10256904303147078</v>
      </c>
      <c r="M19" s="41">
        <f t="shared" si="23"/>
        <v>0.10256904303147078</v>
      </c>
      <c r="N19" s="41">
        <f t="shared" si="23"/>
        <v>0.10256904303147078</v>
      </c>
    </row>
    <row r="20" spans="1:15" x14ac:dyDescent="0.3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4">+SUM(L23+L27+L31)</f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38" t="s">
        <v>128</v>
      </c>
      <c r="B22" s="41" t="str">
        <f t="shared" ref="B22:H22" si="25">+IFERROR(B21/A21-1,"nm")</f>
        <v>nm</v>
      </c>
      <c r="C22" s="41">
        <f t="shared" si="25"/>
        <v>7.4526928675400228E-2</v>
      </c>
      <c r="D22" s="41">
        <f t="shared" si="25"/>
        <v>3.0615009482525046E-2</v>
      </c>
      <c r="E22" s="41">
        <f t="shared" si="25"/>
        <v>-2.372502628811779E-2</v>
      </c>
      <c r="F22" s="41">
        <f t="shared" si="25"/>
        <v>7.0481319421070276E-2</v>
      </c>
      <c r="G22" s="41">
        <f t="shared" si="25"/>
        <v>-8.9171173437303519E-2</v>
      </c>
      <c r="H22" s="41">
        <f t="shared" si="25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26">+IFERROR(K21/J21-1,"nm")</f>
        <v>0</v>
      </c>
      <c r="L22" s="41">
        <f t="shared" si="26"/>
        <v>0</v>
      </c>
      <c r="M22" s="41">
        <f t="shared" si="26"/>
        <v>0</v>
      </c>
      <c r="N22" s="41">
        <f t="shared" si="26"/>
        <v>0</v>
      </c>
    </row>
    <row r="23" spans="1:15" x14ac:dyDescent="0.3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38" t="s">
        <v>128</v>
      </c>
      <c r="B24" s="41" t="str">
        <f t="shared" ref="B24:H24" si="28">+IFERROR(B23/A23-1,"nm")</f>
        <v>nm</v>
      </c>
      <c r="C24" s="41">
        <f t="shared" si="28"/>
        <v>9.3228309428638578E-2</v>
      </c>
      <c r="D24" s="41">
        <f t="shared" si="28"/>
        <v>4.1402301322722934E-2</v>
      </c>
      <c r="E24" s="41">
        <f t="shared" si="28"/>
        <v>-3.7381247418422192E-2</v>
      </c>
      <c r="F24" s="41">
        <f t="shared" si="28"/>
        <v>7.755846384895948E-2</v>
      </c>
      <c r="G24" s="41">
        <f t="shared" si="28"/>
        <v>-7.1279243404678949E-2</v>
      </c>
      <c r="H24" s="41">
        <f t="shared" si="28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29">+K25+K26</f>
        <v>0</v>
      </c>
      <c r="L24" s="41">
        <f t="shared" si="29"/>
        <v>0</v>
      </c>
      <c r="M24" s="41">
        <f t="shared" si="29"/>
        <v>0</v>
      </c>
      <c r="N24" s="41">
        <f t="shared" si="29"/>
        <v>0</v>
      </c>
    </row>
    <row r="25" spans="1:15" x14ac:dyDescent="0.3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0">+J25</f>
        <v>0</v>
      </c>
      <c r="L25" s="43">
        <f t="shared" si="30"/>
        <v>0</v>
      </c>
      <c r="M25" s="43">
        <f t="shared" si="30"/>
        <v>0</v>
      </c>
      <c r="N25" s="43">
        <f t="shared" si="30"/>
        <v>0</v>
      </c>
    </row>
    <row r="26" spans="1:15" x14ac:dyDescent="0.3">
      <c r="A26" s="38" t="s">
        <v>137</v>
      </c>
      <c r="B26" s="41" t="str">
        <f t="shared" ref="B26:H26" si="31">+IFERROR(B24-B25,"nm")</f>
        <v>nm</v>
      </c>
      <c r="C26" s="41">
        <f t="shared" si="31"/>
        <v>-6.7716905713614273E-3</v>
      </c>
      <c r="D26" s="41">
        <f t="shared" si="31"/>
        <v>1.4023013227229333E-3</v>
      </c>
      <c r="E26" s="41">
        <f t="shared" si="31"/>
        <v>2.6187525815778087E-3</v>
      </c>
      <c r="F26" s="41">
        <f t="shared" si="31"/>
        <v>-2.4415361510405215E-3</v>
      </c>
      <c r="G26" s="41">
        <f t="shared" si="31"/>
        <v>-1.2792434046789425E-3</v>
      </c>
      <c r="H26" s="41">
        <f t="shared" si="31"/>
        <v>-1.849072783792538E-3</v>
      </c>
      <c r="I26" s="41">
        <f>+IFERROR(I24-I25,"nm")</f>
        <v>1.5458605290268046E-4</v>
      </c>
      <c r="J26" s="43">
        <v>0</v>
      </c>
      <c r="K26" s="43">
        <f t="shared" si="30"/>
        <v>0</v>
      </c>
      <c r="L26" s="43">
        <f t="shared" si="30"/>
        <v>0</v>
      </c>
      <c r="M26" s="43">
        <f t="shared" si="30"/>
        <v>0</v>
      </c>
      <c r="N26" s="43">
        <f t="shared" si="30"/>
        <v>0</v>
      </c>
    </row>
    <row r="27" spans="1:15" x14ac:dyDescent="0.3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38" t="s">
        <v>128</v>
      </c>
      <c r="B28" s="41" t="str">
        <f t="shared" ref="B28:H28" si="33">+IFERROR(B27/A27-1,"nm")</f>
        <v>nm</v>
      </c>
      <c r="C28" s="41">
        <f t="shared" si="33"/>
        <v>7.6190476190476142E-2</v>
      </c>
      <c r="D28" s="41">
        <f t="shared" si="33"/>
        <v>2.9498525073746285E-2</v>
      </c>
      <c r="E28" s="41">
        <f t="shared" si="33"/>
        <v>1.0642652476463343E-2</v>
      </c>
      <c r="F28" s="41">
        <f t="shared" si="33"/>
        <v>6.5208586472256025E-2</v>
      </c>
      <c r="G28" s="41">
        <f t="shared" si="33"/>
        <v>-0.11806083650190113</v>
      </c>
      <c r="H28" s="41">
        <f t="shared" si="33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34">+K29+K30</f>
        <v>0</v>
      </c>
      <c r="L28" s="41">
        <f t="shared" si="34"/>
        <v>0</v>
      </c>
      <c r="M28" s="41">
        <f t="shared" si="34"/>
        <v>0</v>
      </c>
      <c r="N28" s="41">
        <f t="shared" si="34"/>
        <v>0</v>
      </c>
    </row>
    <row r="29" spans="1:15" x14ac:dyDescent="0.3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35">+J29</f>
        <v>0</v>
      </c>
      <c r="L29" s="43">
        <f t="shared" si="35"/>
        <v>0</v>
      </c>
      <c r="M29" s="43">
        <f t="shared" si="35"/>
        <v>0</v>
      </c>
      <c r="N29" s="43">
        <f t="shared" si="35"/>
        <v>0</v>
      </c>
    </row>
    <row r="30" spans="1:15" x14ac:dyDescent="0.3">
      <c r="A30" s="38" t="s">
        <v>137</v>
      </c>
      <c r="B30" s="41" t="str">
        <f t="shared" ref="B30:H30" si="36">+IFERROR(B28-B29,"nm")</f>
        <v>nm</v>
      </c>
      <c r="C30" s="41">
        <f t="shared" si="36"/>
        <v>-3.8095238095238598E-3</v>
      </c>
      <c r="D30" s="41">
        <f t="shared" si="36"/>
        <v>-5.0147492625371437E-4</v>
      </c>
      <c r="E30" s="41">
        <f t="shared" si="36"/>
        <v>6.4265247646334324E-4</v>
      </c>
      <c r="F30" s="41">
        <f t="shared" si="36"/>
        <v>-4.7914135277439818E-3</v>
      </c>
      <c r="G30" s="41">
        <f t="shared" si="36"/>
        <v>1.9391634980988615E-3</v>
      </c>
      <c r="H30" s="41">
        <f t="shared" si="36"/>
        <v>3.8542789394265392E-3</v>
      </c>
      <c r="I30" s="41">
        <f>+IFERROR(I28-I29,"nm")</f>
        <v>2.2832140015910107E-3</v>
      </c>
      <c r="J30" s="43">
        <v>0</v>
      </c>
      <c r="K30" s="43">
        <f t="shared" si="35"/>
        <v>0</v>
      </c>
      <c r="L30" s="43">
        <f t="shared" si="35"/>
        <v>0</v>
      </c>
      <c r="M30" s="43">
        <f t="shared" si="35"/>
        <v>0</v>
      </c>
      <c r="N30" s="43">
        <f t="shared" si="35"/>
        <v>0</v>
      </c>
    </row>
    <row r="31" spans="1:15" x14ac:dyDescent="0.3">
      <c r="A31" s="39" t="s">
        <v>114</v>
      </c>
      <c r="B31" s="3">
        <f t="shared" ref="B31:I31" si="37">B21-B23-B27</f>
        <v>824</v>
      </c>
      <c r="C31" s="3">
        <f t="shared" si="37"/>
        <v>719</v>
      </c>
      <c r="D31" s="3">
        <f t="shared" si="37"/>
        <v>646</v>
      </c>
      <c r="E31" s="3">
        <f t="shared" si="37"/>
        <v>595</v>
      </c>
      <c r="F31" s="3">
        <f t="shared" si="37"/>
        <v>597</v>
      </c>
      <c r="G31" s="3">
        <f t="shared" si="37"/>
        <v>516</v>
      </c>
      <c r="H31" s="3">
        <f t="shared" si="37"/>
        <v>507</v>
      </c>
      <c r="I31" s="3">
        <f t="shared" si="37"/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38" t="s">
        <v>128</v>
      </c>
      <c r="B32" s="41" t="str">
        <f t="shared" ref="B32:H32" si="39">+IFERROR(B31/A31-1,"nm")</f>
        <v>nm</v>
      </c>
      <c r="C32" s="41">
        <f t="shared" si="39"/>
        <v>-0.12742718446601942</v>
      </c>
      <c r="D32" s="41">
        <f t="shared" si="39"/>
        <v>-0.10152990264255912</v>
      </c>
      <c r="E32" s="41">
        <f t="shared" si="39"/>
        <v>-7.8947368421052655E-2</v>
      </c>
      <c r="F32" s="41">
        <f t="shared" si="39"/>
        <v>3.3613445378151141E-3</v>
      </c>
      <c r="G32" s="41">
        <f t="shared" si="39"/>
        <v>-0.13567839195979903</v>
      </c>
      <c r="H32" s="41">
        <f t="shared" si="39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0">+K33+K34</f>
        <v>0</v>
      </c>
      <c r="L32" s="41">
        <f t="shared" si="40"/>
        <v>0</v>
      </c>
      <c r="M32" s="41">
        <f t="shared" si="40"/>
        <v>0</v>
      </c>
      <c r="N32" s="41">
        <f t="shared" si="40"/>
        <v>0</v>
      </c>
    </row>
    <row r="33" spans="1:14" x14ac:dyDescent="0.3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1">+J33</f>
        <v>0</v>
      </c>
      <c r="L33" s="43">
        <f t="shared" si="41"/>
        <v>0</v>
      </c>
      <c r="M33" s="43">
        <f t="shared" si="41"/>
        <v>0</v>
      </c>
      <c r="N33" s="43">
        <f t="shared" si="41"/>
        <v>0</v>
      </c>
    </row>
    <row r="34" spans="1:14" x14ac:dyDescent="0.3">
      <c r="A34" s="38" t="s">
        <v>137</v>
      </c>
      <c r="B34" s="41" t="str">
        <f t="shared" ref="B34:H34" si="42">+IFERROR(B32-B33,"nm")</f>
        <v>nm</v>
      </c>
      <c r="C34" s="41">
        <f t="shared" si="42"/>
        <v>2.572815533980588E-3</v>
      </c>
      <c r="D34" s="41">
        <f t="shared" si="42"/>
        <v>-1.5299026425591167E-3</v>
      </c>
      <c r="E34" s="41">
        <f t="shared" si="42"/>
        <v>1.0526315789473467E-3</v>
      </c>
      <c r="F34" s="41">
        <f t="shared" si="42"/>
        <v>3.3613445378151141E-3</v>
      </c>
      <c r="G34" s="41">
        <f t="shared" si="42"/>
        <v>4.321608040200986E-3</v>
      </c>
      <c r="H34" s="41">
        <f t="shared" si="42"/>
        <v>2.5581395348836904E-3</v>
      </c>
      <c r="I34" s="41">
        <f>+IFERROR(I32-I33,"nm")</f>
        <v>-1.4792899408284654E-3</v>
      </c>
      <c r="J34" s="43"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4" x14ac:dyDescent="0.3">
      <c r="A35" s="9" t="s">
        <v>129</v>
      </c>
      <c r="B35" s="42">
        <f t="shared" ref="B35:I35" si="43">+B42+B38</f>
        <v>3766</v>
      </c>
      <c r="C35" s="42">
        <f t="shared" si="43"/>
        <v>3896</v>
      </c>
      <c r="D35" s="42">
        <f t="shared" si="43"/>
        <v>4015</v>
      </c>
      <c r="E35" s="42">
        <f t="shared" si="43"/>
        <v>3760</v>
      </c>
      <c r="F35" s="42">
        <f t="shared" si="43"/>
        <v>4074</v>
      </c>
      <c r="G35" s="42">
        <f t="shared" si="43"/>
        <v>3047</v>
      </c>
      <c r="H35" s="42">
        <f t="shared" si="43"/>
        <v>5219</v>
      </c>
      <c r="I35" s="42">
        <f t="shared" si="43"/>
        <v>5238</v>
      </c>
      <c r="J35" s="42">
        <f>+J21*J37</f>
        <v>5238</v>
      </c>
      <c r="K35" s="42">
        <f t="shared" ref="K35:N35" si="44">+K21*K37</f>
        <v>5238</v>
      </c>
      <c r="L35" s="42">
        <f t="shared" si="44"/>
        <v>5238</v>
      </c>
      <c r="M35" s="42">
        <f t="shared" si="44"/>
        <v>5238</v>
      </c>
      <c r="N35" s="42">
        <f t="shared" si="44"/>
        <v>5238</v>
      </c>
    </row>
    <row r="36" spans="1:14" x14ac:dyDescent="0.3">
      <c r="A36" s="40" t="s">
        <v>128</v>
      </c>
      <c r="B36" s="41" t="str">
        <f t="shared" ref="B36:H36" si="45">+IFERROR(B35/A35-1,"nm")</f>
        <v>nm</v>
      </c>
      <c r="C36" s="41">
        <f t="shared" si="45"/>
        <v>3.4519383961763239E-2</v>
      </c>
      <c r="D36" s="41">
        <f t="shared" si="45"/>
        <v>3.0544147843942548E-2</v>
      </c>
      <c r="E36" s="41">
        <f t="shared" si="45"/>
        <v>-6.3511830635118338E-2</v>
      </c>
      <c r="F36" s="41">
        <f t="shared" si="45"/>
        <v>8.3510638297872308E-2</v>
      </c>
      <c r="G36" s="41">
        <f t="shared" si="45"/>
        <v>-0.25208640157093765</v>
      </c>
      <c r="H36" s="41">
        <f t="shared" si="45"/>
        <v>0.71283229405973092</v>
      </c>
      <c r="I36" s="41">
        <f>+IFERROR(I35/H35-1,"nm")</f>
        <v>3.6405441655489312E-3</v>
      </c>
      <c r="J36" s="41">
        <f t="shared" ref="J36:N36" si="46">+IFERROR(J35/I35-1,"nm")</f>
        <v>0</v>
      </c>
      <c r="K36" s="41">
        <f t="shared" si="46"/>
        <v>0</v>
      </c>
      <c r="L36" s="41">
        <f t="shared" si="46"/>
        <v>0</v>
      </c>
      <c r="M36" s="41">
        <f t="shared" si="46"/>
        <v>0</v>
      </c>
      <c r="N36" s="41">
        <f t="shared" si="46"/>
        <v>0</v>
      </c>
    </row>
    <row r="37" spans="1:14" x14ac:dyDescent="0.3">
      <c r="A37" s="40" t="s">
        <v>130</v>
      </c>
      <c r="B37" s="41">
        <f t="shared" ref="B37:H37" si="47">+IFERROR(B35/B$21,"nm")</f>
        <v>0.27409024745269289</v>
      </c>
      <c r="C37" s="41">
        <f t="shared" si="47"/>
        <v>0.26388512598211866</v>
      </c>
      <c r="D37" s="41">
        <f t="shared" si="47"/>
        <v>0.26386698212407994</v>
      </c>
      <c r="E37" s="41">
        <f t="shared" si="47"/>
        <v>0.25311342982160889</v>
      </c>
      <c r="F37" s="41">
        <f t="shared" si="47"/>
        <v>0.25619418941013711</v>
      </c>
      <c r="G37" s="41">
        <f t="shared" si="47"/>
        <v>0.2103700635183651</v>
      </c>
      <c r="H37" s="41">
        <f t="shared" si="47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48">+J37</f>
        <v>0.28540293140086087</v>
      </c>
      <c r="L37" s="43">
        <f t="shared" si="48"/>
        <v>0.28540293140086087</v>
      </c>
      <c r="M37" s="43">
        <f t="shared" si="48"/>
        <v>0.28540293140086087</v>
      </c>
      <c r="N37" s="43">
        <f t="shared" si="48"/>
        <v>0.28540293140086087</v>
      </c>
    </row>
    <row r="38" spans="1:14" x14ac:dyDescent="0.3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49">+K41*K48</f>
        <v>124.00000000000001</v>
      </c>
      <c r="L38" s="42">
        <f t="shared" si="49"/>
        <v>124.00000000000001</v>
      </c>
      <c r="M38" s="42">
        <f t="shared" si="49"/>
        <v>124.00000000000001</v>
      </c>
      <c r="N38" s="42">
        <f t="shared" si="49"/>
        <v>124.00000000000001</v>
      </c>
    </row>
    <row r="39" spans="1:14" x14ac:dyDescent="0.3">
      <c r="A39" s="40" t="s">
        <v>128</v>
      </c>
      <c r="B39" s="41" t="str">
        <f t="shared" ref="B39:H39" si="50">+IFERROR(B38/A38-1,"nm")</f>
        <v>nm</v>
      </c>
      <c r="C39" s="41">
        <f t="shared" si="50"/>
        <v>9.9173553719008156E-2</v>
      </c>
      <c r="D39" s="41">
        <f t="shared" si="50"/>
        <v>5.2631578947368363E-2</v>
      </c>
      <c r="E39" s="41">
        <f t="shared" si="50"/>
        <v>0.14285714285714279</v>
      </c>
      <c r="F39" s="41">
        <f t="shared" si="50"/>
        <v>-6.8749999999999978E-2</v>
      </c>
      <c r="G39" s="41">
        <f t="shared" si="50"/>
        <v>-6.7114093959731447E-3</v>
      </c>
      <c r="H39" s="41">
        <f t="shared" si="50"/>
        <v>-0.1216216216216216</v>
      </c>
      <c r="I39" s="41">
        <f>+IFERROR(I38/H38-1,"nm")</f>
        <v>-4.6153846153846101E-2</v>
      </c>
      <c r="J39" s="41">
        <f t="shared" ref="J39:N39" si="51">+IFERROR(J38/I38-1,"nm")</f>
        <v>2.2204460492503131E-16</v>
      </c>
      <c r="K39" s="41">
        <f t="shared" si="51"/>
        <v>0</v>
      </c>
      <c r="L39" s="41">
        <f t="shared" si="51"/>
        <v>0</v>
      </c>
      <c r="M39" s="41">
        <f t="shared" si="51"/>
        <v>0</v>
      </c>
      <c r="N39" s="41">
        <f t="shared" si="51"/>
        <v>0</v>
      </c>
    </row>
    <row r="40" spans="1:14" x14ac:dyDescent="0.3">
      <c r="A40" s="40" t="s">
        <v>132</v>
      </c>
      <c r="B40" s="41">
        <f t="shared" ref="B40:N40" si="52">+IFERROR(B38/B$21,"nm")</f>
        <v>8.8064046579330417E-3</v>
      </c>
      <c r="C40" s="41">
        <f t="shared" si="52"/>
        <v>9.0083988079111346E-3</v>
      </c>
      <c r="D40" s="41">
        <f t="shared" si="52"/>
        <v>9.2008412197686646E-3</v>
      </c>
      <c r="E40" s="41">
        <f t="shared" si="52"/>
        <v>1.0770784247728038E-2</v>
      </c>
      <c r="F40" s="41">
        <f t="shared" si="52"/>
        <v>9.3698905798012821E-3</v>
      </c>
      <c r="G40" s="41">
        <f t="shared" si="52"/>
        <v>1.0218171775752554E-2</v>
      </c>
      <c r="H40" s="41">
        <f t="shared" si="52"/>
        <v>7.5673787764130628E-3</v>
      </c>
      <c r="I40" s="41">
        <f t="shared" si="52"/>
        <v>6.7563886013185855E-3</v>
      </c>
      <c r="J40" s="41">
        <f t="shared" si="52"/>
        <v>6.7563886013185864E-3</v>
      </c>
      <c r="K40" s="41">
        <f t="shared" si="52"/>
        <v>6.7563886013185864E-3</v>
      </c>
      <c r="L40" s="41">
        <f t="shared" si="52"/>
        <v>6.7563886013185864E-3</v>
      </c>
      <c r="M40" s="41">
        <f t="shared" si="52"/>
        <v>6.7563886013185864E-3</v>
      </c>
      <c r="N40" s="41">
        <f t="shared" si="52"/>
        <v>6.7563886013185864E-3</v>
      </c>
    </row>
    <row r="41" spans="1:14" x14ac:dyDescent="0.3">
      <c r="A41" s="40" t="s">
        <v>139</v>
      </c>
      <c r="B41" s="41">
        <f t="shared" ref="B41:H41" si="53">+IFERROR(B38/B48,"nm")</f>
        <v>0.19145569620253164</v>
      </c>
      <c r="C41" s="41">
        <f t="shared" si="53"/>
        <v>0.17924528301886791</v>
      </c>
      <c r="D41" s="41">
        <f t="shared" si="53"/>
        <v>0.17094017094017094</v>
      </c>
      <c r="E41" s="41">
        <f t="shared" si="53"/>
        <v>0.18867924528301888</v>
      </c>
      <c r="F41" s="41">
        <f t="shared" si="53"/>
        <v>0.18304668304668303</v>
      </c>
      <c r="G41" s="41">
        <f t="shared" si="53"/>
        <v>0.22945736434108527</v>
      </c>
      <c r="H41" s="41">
        <f t="shared" si="53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54">+J41</f>
        <v>0.19405320813771518</v>
      </c>
      <c r="L41" s="43">
        <f t="shared" si="54"/>
        <v>0.19405320813771518</v>
      </c>
      <c r="M41" s="43">
        <f t="shared" si="54"/>
        <v>0.19405320813771518</v>
      </c>
      <c r="N41" s="43">
        <f t="shared" si="54"/>
        <v>0.19405320813771518</v>
      </c>
    </row>
    <row r="42" spans="1:14" x14ac:dyDescent="0.3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0" t="s">
        <v>128</v>
      </c>
      <c r="B43" s="41" t="str">
        <f t="shared" ref="B43:H43" si="56">+IFERROR(B42/A42-1,"nm")</f>
        <v>nm</v>
      </c>
      <c r="C43" s="41">
        <f t="shared" si="56"/>
        <v>3.2373113854595292E-2</v>
      </c>
      <c r="D43" s="41">
        <f t="shared" si="56"/>
        <v>2.9763486579856391E-2</v>
      </c>
      <c r="E43" s="41">
        <f t="shared" si="56"/>
        <v>-7.096774193548383E-2</v>
      </c>
      <c r="F43" s="41">
        <f t="shared" si="56"/>
        <v>9.0277777777777679E-2</v>
      </c>
      <c r="G43" s="41">
        <f t="shared" si="56"/>
        <v>-0.26140127388535028</v>
      </c>
      <c r="H43" s="41">
        <f t="shared" si="56"/>
        <v>0.75543290789927564</v>
      </c>
      <c r="I43" s="41">
        <f>+IFERROR(I42/H42-1,"nm")</f>
        <v>4.9125564943997002E-3</v>
      </c>
      <c r="J43" s="41">
        <f t="shared" ref="J43:N43" si="57">+IFERROR(J42/I42-1,"nm")</f>
        <v>0</v>
      </c>
      <c r="K43" s="41">
        <f t="shared" si="57"/>
        <v>0</v>
      </c>
      <c r="L43" s="41">
        <f t="shared" si="57"/>
        <v>0</v>
      </c>
      <c r="M43" s="41">
        <f t="shared" si="57"/>
        <v>0</v>
      </c>
      <c r="N43" s="41">
        <f t="shared" si="57"/>
        <v>0</v>
      </c>
    </row>
    <row r="44" spans="1:14" x14ac:dyDescent="0.3">
      <c r="A44" s="40" t="s">
        <v>130</v>
      </c>
      <c r="B44" s="41">
        <f t="shared" ref="B44:H44" si="58">+IFERROR(B42/B$21,"nm")</f>
        <v>0.26528384279475981</v>
      </c>
      <c r="C44" s="41">
        <f t="shared" si="58"/>
        <v>0.25487672717420751</v>
      </c>
      <c r="D44" s="41">
        <f t="shared" si="58"/>
        <v>0.25466614090431128</v>
      </c>
      <c r="E44" s="41">
        <f t="shared" si="58"/>
        <v>0.24234264557388085</v>
      </c>
      <c r="F44" s="41">
        <f t="shared" si="58"/>
        <v>0.2468242988303358</v>
      </c>
      <c r="G44" s="41">
        <f t="shared" si="58"/>
        <v>0.20015189174261253</v>
      </c>
      <c r="H44" s="41">
        <f t="shared" si="58"/>
        <v>0.29623377379358518</v>
      </c>
      <c r="I44" s="41">
        <f>+IFERROR(I42/I$21,"nm")</f>
        <v>0.27864654279954232</v>
      </c>
      <c r="J44" s="41">
        <f t="shared" ref="J44:N44" si="59">+IFERROR(J42/J$21,"nm")</f>
        <v>0.27864654279954232</v>
      </c>
      <c r="K44" s="41">
        <f t="shared" si="59"/>
        <v>0.27864654279954232</v>
      </c>
      <c r="L44" s="41">
        <f t="shared" si="59"/>
        <v>0.27864654279954232</v>
      </c>
      <c r="M44" s="41">
        <f t="shared" si="59"/>
        <v>0.27864654279954232</v>
      </c>
      <c r="N44" s="41">
        <f t="shared" si="59"/>
        <v>0.27864654279954232</v>
      </c>
    </row>
    <row r="45" spans="1:14" x14ac:dyDescent="0.3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0">+K21*K47</f>
        <v>146</v>
      </c>
      <c r="L45" s="42">
        <f t="shared" si="60"/>
        <v>146</v>
      </c>
      <c r="M45" s="42">
        <f t="shared" si="60"/>
        <v>146</v>
      </c>
      <c r="N45" s="42">
        <f t="shared" si="60"/>
        <v>146</v>
      </c>
    </row>
    <row r="46" spans="1:14" x14ac:dyDescent="0.3">
      <c r="A46" s="40" t="s">
        <v>128</v>
      </c>
      <c r="B46" s="41" t="str">
        <f t="shared" ref="B46:H46" si="61">+IFERROR(B45/A45-1,"nm")</f>
        <v>nm</v>
      </c>
      <c r="C46" s="41">
        <f t="shared" si="61"/>
        <v>0.16346153846153855</v>
      </c>
      <c r="D46" s="41">
        <f t="shared" si="61"/>
        <v>-7.8512396694214837E-2</v>
      </c>
      <c r="E46" s="41">
        <f t="shared" si="61"/>
        <v>-0.12107623318385652</v>
      </c>
      <c r="F46" s="41">
        <f t="shared" si="61"/>
        <v>-0.40306122448979587</v>
      </c>
      <c r="G46" s="41">
        <f t="shared" si="61"/>
        <v>-5.9829059829059839E-2</v>
      </c>
      <c r="H46" s="41">
        <f t="shared" si="61"/>
        <v>-0.10909090909090913</v>
      </c>
      <c r="I46" s="41">
        <f>+IFERROR(I45/H45-1,"nm")</f>
        <v>0.48979591836734704</v>
      </c>
      <c r="J46" s="41">
        <f t="shared" ref="J46:N46" si="62">+IFERROR(J45/I45-1,"nm")</f>
        <v>0</v>
      </c>
      <c r="K46" s="41">
        <f t="shared" si="62"/>
        <v>0</v>
      </c>
      <c r="L46" s="41">
        <f t="shared" si="62"/>
        <v>0</v>
      </c>
      <c r="M46" s="41">
        <f t="shared" si="62"/>
        <v>0</v>
      </c>
      <c r="N46" s="41">
        <f t="shared" si="62"/>
        <v>0</v>
      </c>
    </row>
    <row r="47" spans="1:14" x14ac:dyDescent="0.3">
      <c r="A47" s="40" t="s">
        <v>132</v>
      </c>
      <c r="B47" s="41">
        <f t="shared" ref="B47:H47" si="63">+IFERROR(B45/B$21,"nm")</f>
        <v>1.5138282387190683E-2</v>
      </c>
      <c r="C47" s="41">
        <f t="shared" si="63"/>
        <v>1.6391221891086428E-2</v>
      </c>
      <c r="D47" s="41">
        <f t="shared" si="63"/>
        <v>1.4655625657202945E-2</v>
      </c>
      <c r="E47" s="41">
        <f t="shared" si="63"/>
        <v>1.3194210703466847E-2</v>
      </c>
      <c r="F47" s="41">
        <f t="shared" si="63"/>
        <v>7.3575650861526856E-3</v>
      </c>
      <c r="G47" s="41">
        <f t="shared" si="63"/>
        <v>7.5945871306268989E-3</v>
      </c>
      <c r="H47" s="41">
        <f t="shared" si="63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64">+J47</f>
        <v>7.9551027080041418E-3</v>
      </c>
      <c r="L47" s="43">
        <f t="shared" si="64"/>
        <v>7.9551027080041418E-3</v>
      </c>
      <c r="M47" s="43">
        <f t="shared" si="64"/>
        <v>7.9551027080041418E-3</v>
      </c>
      <c r="N47" s="43">
        <f t="shared" si="64"/>
        <v>7.9551027080041418E-3</v>
      </c>
    </row>
    <row r="48" spans="1:14" x14ac:dyDescent="0.3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65">+L21*L50</f>
        <v>639.00000000000011</v>
      </c>
      <c r="M48" s="42">
        <f t="shared" si="65"/>
        <v>639.00000000000011</v>
      </c>
      <c r="N48" s="42">
        <f t="shared" si="65"/>
        <v>639.00000000000011</v>
      </c>
    </row>
    <row r="49" spans="1:14" x14ac:dyDescent="0.3">
      <c r="A49" s="40" t="s">
        <v>128</v>
      </c>
      <c r="B49" s="41" t="str">
        <f t="shared" ref="B49:H49" si="66">+IFERROR(B48/A48-1,"nm")</f>
        <v>nm</v>
      </c>
      <c r="C49" s="41">
        <f t="shared" si="66"/>
        <v>0.17405063291139244</v>
      </c>
      <c r="D49" s="41">
        <f t="shared" si="66"/>
        <v>0.10377358490566047</v>
      </c>
      <c r="E49" s="41">
        <f t="shared" si="66"/>
        <v>3.5409035409035505E-2</v>
      </c>
      <c r="F49" s="41">
        <f t="shared" si="66"/>
        <v>-4.0094339622641528E-2</v>
      </c>
      <c r="G49" s="41">
        <f t="shared" si="66"/>
        <v>-0.20761670761670759</v>
      </c>
      <c r="H49" s="41">
        <f t="shared" si="66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67">+K50+K51</f>
        <v>3.4817196098730456E-2</v>
      </c>
      <c r="L49" s="41">
        <f t="shared" si="67"/>
        <v>3.4817196098730456E-2</v>
      </c>
      <c r="M49" s="41">
        <f t="shared" si="67"/>
        <v>3.4817196098730456E-2</v>
      </c>
      <c r="N49" s="41">
        <f t="shared" si="67"/>
        <v>3.4817196098730456E-2</v>
      </c>
    </row>
    <row r="50" spans="1:14" x14ac:dyDescent="0.3">
      <c r="A50" s="40" t="s">
        <v>132</v>
      </c>
      <c r="B50" s="41">
        <f t="shared" ref="B50:H50" si="68">+IFERROR(B48/B$21,"nm")</f>
        <v>4.599708879184862E-2</v>
      </c>
      <c r="C50" s="41">
        <f t="shared" si="68"/>
        <v>5.0257382823083174E-2</v>
      </c>
      <c r="D50" s="41">
        <f t="shared" si="68"/>
        <v>5.3824921135646686E-2</v>
      </c>
      <c r="E50" s="41">
        <f t="shared" si="68"/>
        <v>5.7085156512958597E-2</v>
      </c>
      <c r="F50" s="41">
        <f t="shared" si="68"/>
        <v>5.1188529744686205E-2</v>
      </c>
      <c r="G50" s="41">
        <f t="shared" si="68"/>
        <v>4.4531897265948632E-2</v>
      </c>
      <c r="H50" s="41">
        <f t="shared" si="68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69">+J50</f>
        <v>3.4817196098730456E-2</v>
      </c>
      <c r="L50" s="43">
        <f t="shared" si="69"/>
        <v>3.4817196098730456E-2</v>
      </c>
      <c r="M50" s="43">
        <f t="shared" si="69"/>
        <v>3.4817196098730456E-2</v>
      </c>
      <c r="N50" s="43">
        <f t="shared" si="69"/>
        <v>3.4817196098730456E-2</v>
      </c>
    </row>
    <row r="51" spans="1:14" x14ac:dyDescent="0.3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0">+SUM(K56+K60+K64)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A53" s="38" t="s">
        <v>128</v>
      </c>
      <c r="B53" s="41" t="str">
        <f t="shared" ref="B53:I53" si="71">+IFERROR(B52/A52-1,"nm")</f>
        <v>nm</v>
      </c>
      <c r="C53" s="41" t="str">
        <f t="shared" si="71"/>
        <v>nm</v>
      </c>
      <c r="D53" s="41" t="str">
        <f t="shared" si="71"/>
        <v>nm</v>
      </c>
      <c r="E53" s="41" t="str">
        <f t="shared" si="71"/>
        <v>nm</v>
      </c>
      <c r="F53" s="41">
        <f t="shared" si="71"/>
        <v>6.1674962129409261E-2</v>
      </c>
      <c r="G53" s="41">
        <f t="shared" si="71"/>
        <v>-4.7390949857317621E-2</v>
      </c>
      <c r="H53" s="41">
        <f t="shared" si="71"/>
        <v>0.22563389322777372</v>
      </c>
      <c r="I53" s="41">
        <f t="shared" si="71"/>
        <v>8.9298184357541999E-2</v>
      </c>
      <c r="J53" s="41">
        <f>+IFERROR(J52/I52-1,"nm")</f>
        <v>0</v>
      </c>
      <c r="K53" s="41">
        <f t="shared" ref="K53:N53" si="72">+IFERROR(K52/J52-1,"nm")</f>
        <v>0</v>
      </c>
      <c r="L53" s="41">
        <f t="shared" si="72"/>
        <v>0</v>
      </c>
      <c r="M53" s="41">
        <f t="shared" si="72"/>
        <v>0</v>
      </c>
      <c r="N53" s="41">
        <f t="shared" si="72"/>
        <v>0</v>
      </c>
    </row>
    <row r="54" spans="1:14" x14ac:dyDescent="0.3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">
      <c r="A55" s="38" t="s">
        <v>137</v>
      </c>
      <c r="B55" s="41" t="str">
        <f t="shared" ref="B55:H55" si="73">+IFERROR(B53-B54,"nm")</f>
        <v>nm</v>
      </c>
      <c r="C55" s="41" t="str">
        <f t="shared" si="73"/>
        <v>nm</v>
      </c>
      <c r="D55" s="41" t="str">
        <f t="shared" si="73"/>
        <v>nm</v>
      </c>
      <c r="E55" s="41" t="str">
        <f t="shared" si="73"/>
        <v>nm</v>
      </c>
      <c r="F55" s="41">
        <f t="shared" si="73"/>
        <v>-4.832503787059074E-2</v>
      </c>
      <c r="G55" s="41">
        <f t="shared" si="73"/>
        <v>-3.7390949857317619E-2</v>
      </c>
      <c r="H55" s="41">
        <f t="shared" si="73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4">+J56*(1+K57)</f>
        <v>7388</v>
      </c>
      <c r="L56" s="3">
        <f t="shared" si="74"/>
        <v>7388</v>
      </c>
      <c r="M56" s="3">
        <f t="shared" si="74"/>
        <v>7388</v>
      </c>
      <c r="N56" s="3">
        <f t="shared" si="74"/>
        <v>7388</v>
      </c>
    </row>
    <row r="57" spans="1:14" x14ac:dyDescent="0.3">
      <c r="A57" s="38" t="s">
        <v>128</v>
      </c>
      <c r="B57" s="41" t="str">
        <f t="shared" ref="B57:H57" si="75">+IFERROR(B56/A56-1,"nm")</f>
        <v>nm</v>
      </c>
      <c r="C57" s="41" t="str">
        <f t="shared" si="75"/>
        <v>nm</v>
      </c>
      <c r="D57" s="41" t="str">
        <f t="shared" si="75"/>
        <v>nm</v>
      </c>
      <c r="E57" s="41" t="str">
        <f t="shared" si="75"/>
        <v>nm</v>
      </c>
      <c r="F57" s="41">
        <f t="shared" si="75"/>
        <v>7.1148936170212673E-2</v>
      </c>
      <c r="G57" s="41">
        <f t="shared" si="75"/>
        <v>-6.3721595423486432E-2</v>
      </c>
      <c r="H57" s="41">
        <f t="shared" si="75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76">+K58+K59</f>
        <v>0</v>
      </c>
      <c r="L57" s="41">
        <f t="shared" si="76"/>
        <v>0</v>
      </c>
      <c r="M57" s="41">
        <f t="shared" si="76"/>
        <v>0</v>
      </c>
      <c r="N57" s="41">
        <f t="shared" si="76"/>
        <v>0</v>
      </c>
    </row>
    <row r="58" spans="1:14" x14ac:dyDescent="0.3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">
      <c r="A59" s="38" t="s">
        <v>137</v>
      </c>
      <c r="B59" s="41" t="str">
        <f t="shared" ref="B59:H59" si="77">+IFERROR(B57-B58,"nm")</f>
        <v>nm</v>
      </c>
      <c r="C59" s="41" t="str">
        <f t="shared" si="77"/>
        <v>nm</v>
      </c>
      <c r="D59" s="41" t="str">
        <f t="shared" si="77"/>
        <v>nm</v>
      </c>
      <c r="E59" s="41" t="str">
        <f t="shared" si="77"/>
        <v>nm</v>
      </c>
      <c r="F59" s="41">
        <f t="shared" si="77"/>
        <v>-4.8851063829787322E-2</v>
      </c>
      <c r="G59" s="41">
        <f t="shared" si="77"/>
        <v>-3.3721595423486433E-2</v>
      </c>
      <c r="H59" s="41">
        <f t="shared" si="77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8">+J60*(1+K61)</f>
        <v>4527</v>
      </c>
      <c r="L60" s="3">
        <f t="shared" si="78"/>
        <v>4527</v>
      </c>
      <c r="M60" s="3">
        <f t="shared" si="78"/>
        <v>4527</v>
      </c>
      <c r="N60" s="3">
        <f t="shared" si="78"/>
        <v>4527</v>
      </c>
    </row>
    <row r="61" spans="1:14" x14ac:dyDescent="0.3">
      <c r="A61" s="38" t="s">
        <v>128</v>
      </c>
      <c r="B61" s="41" t="str">
        <f t="shared" ref="B61:H61" si="79">+IFERROR(B60/A60-1,"nm")</f>
        <v>nm</v>
      </c>
      <c r="C61" s="41" t="str">
        <f t="shared" si="79"/>
        <v>nm</v>
      </c>
      <c r="D61" s="41" t="str">
        <f t="shared" si="79"/>
        <v>nm</v>
      </c>
      <c r="E61" s="41" t="str">
        <f t="shared" si="79"/>
        <v>nm</v>
      </c>
      <c r="F61" s="41">
        <f t="shared" si="79"/>
        <v>5.0000000000000044E-2</v>
      </c>
      <c r="G61" s="41">
        <f t="shared" si="79"/>
        <v>-1.1013929381276322E-2</v>
      </c>
      <c r="H61" s="41">
        <f t="shared" si="79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0">+K62+K63</f>
        <v>0</v>
      </c>
      <c r="L61" s="41">
        <f t="shared" si="80"/>
        <v>0</v>
      </c>
      <c r="M61" s="41">
        <f t="shared" si="80"/>
        <v>0</v>
      </c>
      <c r="N61" s="41">
        <f t="shared" si="80"/>
        <v>0</v>
      </c>
    </row>
    <row r="62" spans="1:14" x14ac:dyDescent="0.3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">
      <c r="A63" s="38" t="s">
        <v>137</v>
      </c>
      <c r="B63" s="41" t="str">
        <f t="shared" ref="B63:H63" si="81">+IFERROR(B61-B62,"nm")</f>
        <v>nm</v>
      </c>
      <c r="C63" s="41" t="str">
        <f t="shared" si="81"/>
        <v>nm</v>
      </c>
      <c r="D63" s="41" t="str">
        <f t="shared" si="81"/>
        <v>nm</v>
      </c>
      <c r="E63" s="41" t="str">
        <f t="shared" si="81"/>
        <v>nm</v>
      </c>
      <c r="F63" s="41">
        <f t="shared" si="81"/>
        <v>-3.9999999999999952E-2</v>
      </c>
      <c r="G63" s="41">
        <f t="shared" si="81"/>
        <v>-3.1013929381276322E-2</v>
      </c>
      <c r="H63" s="41">
        <f t="shared" si="81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">
      <c r="A64" s="39" t="s">
        <v>114</v>
      </c>
      <c r="B64" s="3">
        <f t="shared" ref="B64:I64" si="82">B52-B56-B60</f>
        <v>0</v>
      </c>
      <c r="C64" s="3">
        <f t="shared" si="82"/>
        <v>0</v>
      </c>
      <c r="D64" s="3">
        <f t="shared" si="82"/>
        <v>0</v>
      </c>
      <c r="E64" s="3">
        <f t="shared" si="82"/>
        <v>427</v>
      </c>
      <c r="F64" s="3">
        <f t="shared" si="82"/>
        <v>432</v>
      </c>
      <c r="G64" s="3">
        <f t="shared" si="82"/>
        <v>402</v>
      </c>
      <c r="H64" s="3">
        <f t="shared" si="82"/>
        <v>490</v>
      </c>
      <c r="I64" s="3">
        <f t="shared" si="82"/>
        <v>564</v>
      </c>
      <c r="J64" s="3">
        <f>+I64*(1+J65)</f>
        <v>564</v>
      </c>
      <c r="K64" s="3">
        <f t="shared" ref="K64:N64" si="83">+J64*(1+K65)</f>
        <v>564</v>
      </c>
      <c r="L64" s="3">
        <f t="shared" si="83"/>
        <v>564</v>
      </c>
      <c r="M64" s="3">
        <f t="shared" si="83"/>
        <v>564</v>
      </c>
      <c r="N64" s="3">
        <f t="shared" si="83"/>
        <v>564</v>
      </c>
    </row>
    <row r="65" spans="1:14" x14ac:dyDescent="0.3">
      <c r="A65" s="38" t="s">
        <v>128</v>
      </c>
      <c r="B65" s="41" t="str">
        <f t="shared" ref="B65:H65" si="84">+IFERROR(B64/A64-1,"nm")</f>
        <v>nm</v>
      </c>
      <c r="C65" s="41" t="str">
        <f t="shared" si="84"/>
        <v>nm</v>
      </c>
      <c r="D65" s="41" t="str">
        <f t="shared" si="84"/>
        <v>nm</v>
      </c>
      <c r="E65" s="41" t="str">
        <f t="shared" si="84"/>
        <v>nm</v>
      </c>
      <c r="F65" s="41">
        <f t="shared" si="84"/>
        <v>1.1709601873536313E-2</v>
      </c>
      <c r="G65" s="41">
        <f t="shared" si="84"/>
        <v>-6.944444444444442E-2</v>
      </c>
      <c r="H65" s="41">
        <f t="shared" si="84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85">+K66+K67</f>
        <v>0</v>
      </c>
      <c r="L65" s="41">
        <f t="shared" si="85"/>
        <v>0</v>
      </c>
      <c r="M65" s="41">
        <f t="shared" si="85"/>
        <v>0</v>
      </c>
      <c r="N65" s="41">
        <f t="shared" si="85"/>
        <v>0</v>
      </c>
    </row>
    <row r="66" spans="1:14" x14ac:dyDescent="0.3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">
      <c r="A67" s="38" t="s">
        <v>137</v>
      </c>
      <c r="B67" s="41" t="str">
        <f t="shared" ref="B67:H67" si="86">+IFERROR(B65-B66,"nm")</f>
        <v>nm</v>
      </c>
      <c r="C67" s="41" t="str">
        <f t="shared" si="86"/>
        <v>nm</v>
      </c>
      <c r="D67" s="41" t="str">
        <f t="shared" si="86"/>
        <v>nm</v>
      </c>
      <c r="E67" s="41" t="str">
        <f t="shared" si="86"/>
        <v>nm</v>
      </c>
      <c r="F67" s="41">
        <f t="shared" si="86"/>
        <v>-3.829039812646369E-2</v>
      </c>
      <c r="G67" s="41">
        <f t="shared" si="86"/>
        <v>-3.9444444444444421E-2</v>
      </c>
      <c r="H67" s="41">
        <f t="shared" si="86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9" t="s">
        <v>129</v>
      </c>
      <c r="B68" s="42">
        <f t="shared" ref="B68:I68" si="87">+B75+B71</f>
        <v>0</v>
      </c>
      <c r="C68" s="42">
        <f t="shared" si="87"/>
        <v>85</v>
      </c>
      <c r="D68" s="42">
        <f t="shared" si="87"/>
        <v>106</v>
      </c>
      <c r="E68" s="42">
        <f t="shared" si="87"/>
        <v>1703</v>
      </c>
      <c r="F68" s="42">
        <f t="shared" si="87"/>
        <v>2106</v>
      </c>
      <c r="G68" s="42">
        <f t="shared" si="87"/>
        <v>1673</v>
      </c>
      <c r="H68" s="42">
        <f t="shared" si="87"/>
        <v>2571</v>
      </c>
      <c r="I68" s="42">
        <f t="shared" si="87"/>
        <v>3427</v>
      </c>
      <c r="J68" s="42">
        <f>+J52*J70</f>
        <v>3427</v>
      </c>
      <c r="K68" s="42">
        <f t="shared" ref="K68:N68" si="88">+K52*K70</f>
        <v>3427</v>
      </c>
      <c r="L68" s="42">
        <f t="shared" si="88"/>
        <v>3427</v>
      </c>
      <c r="M68" s="42">
        <f t="shared" si="88"/>
        <v>3427</v>
      </c>
      <c r="N68" s="42">
        <f t="shared" si="88"/>
        <v>3427</v>
      </c>
    </row>
    <row r="69" spans="1:14" x14ac:dyDescent="0.3">
      <c r="A69" s="40" t="s">
        <v>128</v>
      </c>
      <c r="B69" s="41" t="str">
        <f t="shared" ref="B69:N69" si="89">+IFERROR(B68/A68-1,"nm")</f>
        <v>nm</v>
      </c>
      <c r="C69" s="41" t="str">
        <f t="shared" si="89"/>
        <v>nm</v>
      </c>
      <c r="D69" s="41">
        <f t="shared" si="89"/>
        <v>0.24705882352941178</v>
      </c>
      <c r="E69" s="41">
        <f t="shared" si="89"/>
        <v>15.066037735849058</v>
      </c>
      <c r="F69" s="41">
        <f t="shared" si="89"/>
        <v>0.23664122137404586</v>
      </c>
      <c r="G69" s="41">
        <f t="shared" si="89"/>
        <v>-0.20560303893637222</v>
      </c>
      <c r="H69" s="41">
        <f t="shared" si="89"/>
        <v>0.53676031081888831</v>
      </c>
      <c r="I69" s="41">
        <f t="shared" si="89"/>
        <v>0.33294437961882539</v>
      </c>
      <c r="J69" s="41">
        <f t="shared" si="89"/>
        <v>0</v>
      </c>
      <c r="K69" s="41">
        <f t="shared" si="89"/>
        <v>0</v>
      </c>
      <c r="L69" s="41">
        <f t="shared" si="89"/>
        <v>0</v>
      </c>
      <c r="M69" s="41">
        <f t="shared" si="89"/>
        <v>0</v>
      </c>
      <c r="N69" s="41">
        <f t="shared" si="89"/>
        <v>0</v>
      </c>
    </row>
    <row r="70" spans="1:14" x14ac:dyDescent="0.3">
      <c r="A70" s="40" t="s">
        <v>130</v>
      </c>
      <c r="B70" s="41" t="str">
        <f t="shared" ref="B70:H70" si="90">+IFERROR(B68/B$52,"nm")</f>
        <v>nm</v>
      </c>
      <c r="C70" s="41" t="str">
        <f t="shared" si="90"/>
        <v>nm</v>
      </c>
      <c r="D70" s="41" t="str">
        <f t="shared" si="90"/>
        <v>nm</v>
      </c>
      <c r="E70" s="41">
        <f t="shared" si="90"/>
        <v>0.18426747457260334</v>
      </c>
      <c r="F70" s="41">
        <f t="shared" si="90"/>
        <v>0.21463514064410924</v>
      </c>
      <c r="G70" s="41">
        <f t="shared" si="90"/>
        <v>0.17898791055953783</v>
      </c>
      <c r="H70" s="41">
        <f t="shared" si="90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1">+J70</f>
        <v>0.27462136389133746</v>
      </c>
      <c r="L70" s="43">
        <f t="shared" si="91"/>
        <v>0.27462136389133746</v>
      </c>
      <c r="M70" s="43">
        <f t="shared" si="91"/>
        <v>0.27462136389133746</v>
      </c>
      <c r="N70" s="43">
        <f t="shared" si="91"/>
        <v>0.27462136389133746</v>
      </c>
    </row>
    <row r="71" spans="1:14" x14ac:dyDescent="0.3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2">+K74*K81</f>
        <v>134</v>
      </c>
      <c r="L71" s="42">
        <f t="shared" si="92"/>
        <v>134</v>
      </c>
      <c r="M71" s="42">
        <f t="shared" si="92"/>
        <v>134</v>
      </c>
      <c r="N71" s="42">
        <f t="shared" si="92"/>
        <v>134</v>
      </c>
    </row>
    <row r="72" spans="1:14" x14ac:dyDescent="0.3">
      <c r="A72" s="40" t="s">
        <v>128</v>
      </c>
      <c r="B72" s="41" t="str">
        <f t="shared" ref="B72:N72" si="93">+IFERROR(B71/A71-1,"nm")</f>
        <v>nm</v>
      </c>
      <c r="C72" s="41" t="str">
        <f t="shared" si="93"/>
        <v>nm</v>
      </c>
      <c r="D72" s="41">
        <f t="shared" si="93"/>
        <v>0.24705882352941178</v>
      </c>
      <c r="E72" s="41">
        <f t="shared" si="93"/>
        <v>9.4339622641509413E-2</v>
      </c>
      <c r="F72" s="41">
        <f t="shared" si="93"/>
        <v>-4.31034482758621E-2</v>
      </c>
      <c r="G72" s="41">
        <f t="shared" si="93"/>
        <v>0.18918918918918926</v>
      </c>
      <c r="H72" s="41">
        <f t="shared" si="93"/>
        <v>3.0303030303030276E-2</v>
      </c>
      <c r="I72" s="41">
        <f t="shared" si="93"/>
        <v>-1.4705882352941124E-2</v>
      </c>
      <c r="J72" s="41">
        <f t="shared" si="93"/>
        <v>0</v>
      </c>
      <c r="K72" s="41">
        <f t="shared" si="93"/>
        <v>0</v>
      </c>
      <c r="L72" s="41">
        <f t="shared" si="93"/>
        <v>0</v>
      </c>
      <c r="M72" s="41">
        <f t="shared" si="93"/>
        <v>0</v>
      </c>
      <c r="N72" s="41">
        <f t="shared" si="93"/>
        <v>0</v>
      </c>
    </row>
    <row r="73" spans="1:14" x14ac:dyDescent="0.3">
      <c r="A73" s="40" t="s">
        <v>132</v>
      </c>
      <c r="B73" s="41" t="str">
        <f t="shared" ref="B73:H73" si="94">+IFERROR(B71/B$52,"nm")</f>
        <v>nm</v>
      </c>
      <c r="C73" s="41" t="str">
        <f t="shared" si="94"/>
        <v>nm</v>
      </c>
      <c r="D73" s="41" t="str">
        <f t="shared" si="94"/>
        <v>nm</v>
      </c>
      <c r="E73" s="41">
        <f t="shared" si="94"/>
        <v>1.2551395801774508E-2</v>
      </c>
      <c r="F73" s="41">
        <f t="shared" si="94"/>
        <v>1.1312678353037097E-2</v>
      </c>
      <c r="G73" s="41">
        <f t="shared" si="94"/>
        <v>1.4122178239007167E-2</v>
      </c>
      <c r="H73" s="41">
        <f t="shared" si="94"/>
        <v>1.1871508379888268E-2</v>
      </c>
      <c r="I73" s="41">
        <f>+IFERROR(I71/I$52,"nm")</f>
        <v>1.0738039907043834E-2</v>
      </c>
      <c r="J73" s="41">
        <f t="shared" ref="J73:N73" si="95">+IFERROR(J71/J$52,"nm")</f>
        <v>1.0738039907043834E-2</v>
      </c>
      <c r="K73" s="41">
        <f t="shared" si="95"/>
        <v>1.0738039907043834E-2</v>
      </c>
      <c r="L73" s="41">
        <f t="shared" si="95"/>
        <v>1.0738039907043834E-2</v>
      </c>
      <c r="M73" s="41">
        <f t="shared" si="95"/>
        <v>1.0738039907043834E-2</v>
      </c>
      <c r="N73" s="41">
        <f t="shared" si="95"/>
        <v>1.0738039907043834E-2</v>
      </c>
    </row>
    <row r="74" spans="1:14" x14ac:dyDescent="0.3">
      <c r="A74" s="40" t="s">
        <v>139</v>
      </c>
      <c r="B74" s="41" t="str">
        <f t="shared" ref="B74:I74" si="96">+IFERROR(B71/B81,"nm")</f>
        <v>nm</v>
      </c>
      <c r="C74" s="41" t="str">
        <f t="shared" si="96"/>
        <v>nm</v>
      </c>
      <c r="D74" s="41">
        <f t="shared" si="96"/>
        <v>0.14950634696755993</v>
      </c>
      <c r="E74" s="41">
        <f t="shared" si="96"/>
        <v>0.13663133097762073</v>
      </c>
      <c r="F74" s="41">
        <f t="shared" si="96"/>
        <v>0.11948331539289558</v>
      </c>
      <c r="G74" s="41">
        <f t="shared" si="96"/>
        <v>0.14915254237288136</v>
      </c>
      <c r="H74" s="41">
        <f t="shared" si="96"/>
        <v>0.1384928716904277</v>
      </c>
      <c r="I74" s="41">
        <f t="shared" si="96"/>
        <v>0.14565217391304347</v>
      </c>
      <c r="J74" s="43">
        <f>+I74</f>
        <v>0.14565217391304347</v>
      </c>
      <c r="K74" s="43">
        <f t="shared" ref="K74:N74" si="97">+J74</f>
        <v>0.14565217391304347</v>
      </c>
      <c r="L74" s="43">
        <f t="shared" si="97"/>
        <v>0.14565217391304347</v>
      </c>
      <c r="M74" s="43">
        <f t="shared" si="97"/>
        <v>0.14565217391304347</v>
      </c>
      <c r="N74" s="43">
        <f t="shared" si="97"/>
        <v>0.14565217391304347</v>
      </c>
    </row>
    <row r="75" spans="1:14" x14ac:dyDescent="0.3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8">+K68-K71</f>
        <v>3293</v>
      </c>
      <c r="L75" s="9">
        <f t="shared" si="98"/>
        <v>3293</v>
      </c>
      <c r="M75" s="9">
        <f t="shared" si="98"/>
        <v>3293</v>
      </c>
      <c r="N75" s="9">
        <f t="shared" si="98"/>
        <v>3293</v>
      </c>
    </row>
    <row r="76" spans="1:14" x14ac:dyDescent="0.3">
      <c r="A76" s="40" t="s">
        <v>128</v>
      </c>
      <c r="B76" s="41" t="str">
        <f t="shared" ref="B76:N76" si="99">+IFERROR(B75/A75-1,"nm")</f>
        <v>nm</v>
      </c>
      <c r="C76" s="41" t="str">
        <f t="shared" si="99"/>
        <v>nm</v>
      </c>
      <c r="D76" s="41" t="str">
        <f t="shared" si="99"/>
        <v>nm</v>
      </c>
      <c r="E76" s="41" t="str">
        <f t="shared" si="99"/>
        <v>nm</v>
      </c>
      <c r="F76" s="41">
        <f t="shared" si="99"/>
        <v>0.25708884688090738</v>
      </c>
      <c r="G76" s="41">
        <f t="shared" si="99"/>
        <v>-0.22756892230576442</v>
      </c>
      <c r="H76" s="41">
        <f t="shared" si="99"/>
        <v>0.58014276443867629</v>
      </c>
      <c r="I76" s="41">
        <f t="shared" si="99"/>
        <v>0.3523613963039014</v>
      </c>
      <c r="J76" s="41">
        <f t="shared" si="99"/>
        <v>0</v>
      </c>
      <c r="K76" s="41">
        <f t="shared" si="99"/>
        <v>0</v>
      </c>
      <c r="L76" s="41">
        <f t="shared" si="99"/>
        <v>0</v>
      </c>
      <c r="M76" s="41">
        <f t="shared" si="99"/>
        <v>0</v>
      </c>
      <c r="N76" s="41">
        <f t="shared" si="99"/>
        <v>0</v>
      </c>
    </row>
    <row r="77" spans="1:14" x14ac:dyDescent="0.3">
      <c r="A77" s="40" t="s">
        <v>130</v>
      </c>
      <c r="B77" s="41" t="str">
        <f t="shared" ref="B77:H77" si="100">+IFERROR(B75/B$52,"nm")</f>
        <v>nm</v>
      </c>
      <c r="C77" s="41" t="str">
        <f t="shared" si="100"/>
        <v>nm</v>
      </c>
      <c r="D77" s="41" t="str">
        <f t="shared" si="100"/>
        <v>nm</v>
      </c>
      <c r="E77" s="41">
        <f t="shared" si="100"/>
        <v>0.17171607877082881</v>
      </c>
      <c r="F77" s="41">
        <f t="shared" si="100"/>
        <v>0.20332246229107215</v>
      </c>
      <c r="G77" s="41">
        <f t="shared" si="100"/>
        <v>0.16486573232053064</v>
      </c>
      <c r="H77" s="41">
        <f t="shared" si="100"/>
        <v>0.21255237430167598</v>
      </c>
      <c r="I77" s="41">
        <f>+IFERROR(I75/I$52,"nm")</f>
        <v>0.26388332398429359</v>
      </c>
      <c r="J77" s="41">
        <f t="shared" ref="J77:N77" si="101">+IFERROR(J75/J$21,"nm")</f>
        <v>0.17942570696888793</v>
      </c>
      <c r="K77" s="41">
        <f t="shared" si="101"/>
        <v>0.17942570696888793</v>
      </c>
      <c r="L77" s="41">
        <f t="shared" si="101"/>
        <v>0.17942570696888793</v>
      </c>
      <c r="M77" s="41">
        <f t="shared" si="101"/>
        <v>0.17942570696888793</v>
      </c>
      <c r="N77" s="41">
        <f t="shared" si="101"/>
        <v>0.17942570696888793</v>
      </c>
    </row>
    <row r="78" spans="1:14" x14ac:dyDescent="0.3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2">+K52*K80</f>
        <v>196.99999999999997</v>
      </c>
      <c r="L78" s="42">
        <f t="shared" si="102"/>
        <v>196.99999999999997</v>
      </c>
      <c r="M78" s="42">
        <f t="shared" si="102"/>
        <v>196.99999999999997</v>
      </c>
      <c r="N78" s="42">
        <f t="shared" si="102"/>
        <v>196.99999999999997</v>
      </c>
    </row>
    <row r="79" spans="1:14" x14ac:dyDescent="0.3">
      <c r="A79" s="40" t="s">
        <v>128</v>
      </c>
      <c r="B79" s="41" t="str">
        <f t="shared" ref="B79:N79" si="103">+IFERROR(B78/A78-1,"nm")</f>
        <v>nm</v>
      </c>
      <c r="C79" s="41" t="str">
        <f t="shared" si="103"/>
        <v>nm</v>
      </c>
      <c r="D79" s="41">
        <f t="shared" si="103"/>
        <v>-0.26068376068376065</v>
      </c>
      <c r="E79" s="41">
        <f t="shared" si="103"/>
        <v>0.38728323699421963</v>
      </c>
      <c r="F79" s="41">
        <f t="shared" si="103"/>
        <v>-2.9166666666666674E-2</v>
      </c>
      <c r="G79" s="41">
        <f t="shared" si="103"/>
        <v>-0.40343347639484983</v>
      </c>
      <c r="H79" s="41">
        <f t="shared" si="103"/>
        <v>0.10071942446043169</v>
      </c>
      <c r="I79" s="41">
        <f t="shared" si="103"/>
        <v>0.28758169934640532</v>
      </c>
      <c r="J79" s="41">
        <f t="shared" si="103"/>
        <v>-1.1102230246251565E-16</v>
      </c>
      <c r="K79" s="41">
        <f t="shared" si="103"/>
        <v>0</v>
      </c>
      <c r="L79" s="41">
        <f t="shared" si="103"/>
        <v>0</v>
      </c>
      <c r="M79" s="41">
        <f t="shared" si="103"/>
        <v>0</v>
      </c>
      <c r="N79" s="41">
        <f t="shared" si="103"/>
        <v>0</v>
      </c>
    </row>
    <row r="80" spans="1:14" x14ac:dyDescent="0.3">
      <c r="A80" s="40" t="s">
        <v>132</v>
      </c>
      <c r="B80" s="41" t="str">
        <f t="shared" ref="B80:H80" si="104">+IFERROR(B78/B$52,"nm")</f>
        <v>nm</v>
      </c>
      <c r="C80" s="41" t="str">
        <f t="shared" si="104"/>
        <v>nm</v>
      </c>
      <c r="D80" s="41" t="str">
        <f t="shared" si="104"/>
        <v>nm</v>
      </c>
      <c r="E80" s="41">
        <f t="shared" si="104"/>
        <v>2.5968405107119671E-2</v>
      </c>
      <c r="F80" s="41">
        <f t="shared" si="104"/>
        <v>2.3746432939258051E-2</v>
      </c>
      <c r="G80" s="41">
        <f t="shared" si="104"/>
        <v>1.4871081630469669E-2</v>
      </c>
      <c r="H80" s="41">
        <f t="shared" si="104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05">+J80</f>
        <v>1.5786521355877874E-2</v>
      </c>
      <c r="L80" s="43">
        <f t="shared" si="105"/>
        <v>1.5786521355877874E-2</v>
      </c>
      <c r="M80" s="43">
        <f t="shared" si="105"/>
        <v>1.5786521355877874E-2</v>
      </c>
      <c r="N80" s="43">
        <f t="shared" si="105"/>
        <v>1.5786521355877874E-2</v>
      </c>
    </row>
    <row r="81" spans="1:14" x14ac:dyDescent="0.3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06">+K52*K83</f>
        <v>920.00000000000011</v>
      </c>
      <c r="L81" s="42">
        <f t="shared" si="106"/>
        <v>920.00000000000011</v>
      </c>
      <c r="M81" s="42">
        <f t="shared" si="106"/>
        <v>920.00000000000011</v>
      </c>
      <c r="N81" s="42">
        <f t="shared" si="106"/>
        <v>920.00000000000011</v>
      </c>
    </row>
    <row r="82" spans="1:14" x14ac:dyDescent="0.3">
      <c r="A82" s="40" t="s">
        <v>128</v>
      </c>
      <c r="B82" s="41" t="str">
        <f t="shared" ref="B82:H82" si="107">+IFERROR(B81/A81-1,"nm")</f>
        <v>nm</v>
      </c>
      <c r="C82" s="41" t="str">
        <f t="shared" si="107"/>
        <v>nm</v>
      </c>
      <c r="D82" s="41" t="str">
        <f t="shared" si="107"/>
        <v>nm</v>
      </c>
      <c r="E82" s="41">
        <f t="shared" si="107"/>
        <v>0.19746121297602248</v>
      </c>
      <c r="F82" s="41">
        <f t="shared" si="107"/>
        <v>9.4228504122497059E-2</v>
      </c>
      <c r="G82" s="41">
        <f t="shared" si="107"/>
        <v>-4.7362755651237931E-2</v>
      </c>
      <c r="H82" s="41">
        <f t="shared" si="107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08">+K83+K84</f>
        <v>7.37238560782114E-2</v>
      </c>
      <c r="L82" s="41">
        <f t="shared" si="108"/>
        <v>7.37238560782114E-2</v>
      </c>
      <c r="M82" s="41">
        <f t="shared" si="108"/>
        <v>7.37238560782114E-2</v>
      </c>
      <c r="N82" s="41">
        <f t="shared" si="108"/>
        <v>7.37238560782114E-2</v>
      </c>
    </row>
    <row r="83" spans="1:14" x14ac:dyDescent="0.3">
      <c r="A83" s="40" t="s">
        <v>132</v>
      </c>
      <c r="B83" s="41" t="str">
        <f t="shared" ref="B83:I83" si="109">+IFERROR(B81/B$52,"nm")</f>
        <v>nm</v>
      </c>
      <c r="C83" s="41" t="str">
        <f t="shared" si="109"/>
        <v>nm</v>
      </c>
      <c r="D83" s="41" t="str">
        <f t="shared" si="109"/>
        <v>nm</v>
      </c>
      <c r="E83" s="41">
        <f t="shared" si="109"/>
        <v>9.1863233066435832E-2</v>
      </c>
      <c r="F83" s="41">
        <f t="shared" si="109"/>
        <v>9.4679983693436609E-2</v>
      </c>
      <c r="G83" s="41">
        <f t="shared" si="109"/>
        <v>9.4682785920616241E-2</v>
      </c>
      <c r="H83" s="41">
        <f t="shared" si="109"/>
        <v>8.5719273743016758E-2</v>
      </c>
      <c r="I83" s="41">
        <f t="shared" si="109"/>
        <v>7.37238560782114E-2</v>
      </c>
      <c r="J83" s="43">
        <f>+I83</f>
        <v>7.37238560782114E-2</v>
      </c>
      <c r="K83" s="43">
        <f t="shared" ref="K83:N83" si="110">+J83</f>
        <v>7.37238560782114E-2</v>
      </c>
      <c r="L83" s="43">
        <f t="shared" si="110"/>
        <v>7.37238560782114E-2</v>
      </c>
      <c r="M83" s="43">
        <f t="shared" si="110"/>
        <v>7.37238560782114E-2</v>
      </c>
      <c r="N83" s="43">
        <f t="shared" si="110"/>
        <v>7.37238560782114E-2</v>
      </c>
    </row>
    <row r="84" spans="1:14" x14ac:dyDescent="0.3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1">+SUM(K89+K93+K97)</f>
        <v>7547</v>
      </c>
      <c r="L85" s="9">
        <f t="shared" si="111"/>
        <v>7547</v>
      </c>
      <c r="M85" s="9">
        <f t="shared" si="111"/>
        <v>7547</v>
      </c>
      <c r="N85" s="9">
        <f t="shared" si="111"/>
        <v>7547</v>
      </c>
    </row>
    <row r="86" spans="1:14" x14ac:dyDescent="0.3">
      <c r="A86" s="38" t="s">
        <v>128</v>
      </c>
      <c r="B86" s="41" t="str">
        <f t="shared" ref="B86:H86" si="112">+IFERROR(B85/A85-1,"nm")</f>
        <v>nm</v>
      </c>
      <c r="C86" s="41">
        <f t="shared" si="112"/>
        <v>0.23410498858819695</v>
      </c>
      <c r="D86" s="41">
        <f t="shared" si="112"/>
        <v>0.11941875825627468</v>
      </c>
      <c r="E86" s="41">
        <f t="shared" si="112"/>
        <v>0.21170639603493036</v>
      </c>
      <c r="F86" s="41">
        <f t="shared" si="112"/>
        <v>0.20919361121932223</v>
      </c>
      <c r="G86" s="41">
        <f t="shared" si="112"/>
        <v>7.5869845360824639E-2</v>
      </c>
      <c r="H86" s="41">
        <f t="shared" si="112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3">+IFERROR(K85/J85-1,"nm")</f>
        <v>0</v>
      </c>
      <c r="L86" s="41">
        <f t="shared" si="113"/>
        <v>0</v>
      </c>
      <c r="M86" s="41">
        <f t="shared" si="113"/>
        <v>0</v>
      </c>
      <c r="N86" s="41">
        <f t="shared" si="113"/>
        <v>0</v>
      </c>
    </row>
    <row r="87" spans="1:14" x14ac:dyDescent="0.3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">
      <c r="A88" s="38" t="s">
        <v>137</v>
      </c>
      <c r="B88" s="41" t="str">
        <f t="shared" ref="B88:I88" si="114">+IFERROR(B86-B87,"nm")</f>
        <v>nm</v>
      </c>
      <c r="C88" s="41">
        <f t="shared" si="114"/>
        <v>-3.5895011411803068E-2</v>
      </c>
      <c r="D88" s="41">
        <f t="shared" si="114"/>
        <v>-5.058124174372533E-2</v>
      </c>
      <c r="E88" s="41">
        <f t="shared" si="114"/>
        <v>3.1706396034930362E-2</v>
      </c>
      <c r="F88" s="41">
        <f t="shared" si="114"/>
        <v>-3.0806388780677763E-2</v>
      </c>
      <c r="G88" s="41">
        <f t="shared" si="114"/>
        <v>-3.4130154639175361E-2</v>
      </c>
      <c r="H88" s="41">
        <f t="shared" si="114"/>
        <v>5.1203773019913246E-2</v>
      </c>
      <c r="I88" s="41">
        <f t="shared" si="114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15">+J89*(1+K90)</f>
        <v>5416</v>
      </c>
      <c r="L89" s="3">
        <f t="shared" si="115"/>
        <v>5416</v>
      </c>
      <c r="M89" s="3">
        <f t="shared" si="115"/>
        <v>5416</v>
      </c>
      <c r="N89" s="3">
        <f t="shared" si="115"/>
        <v>5416</v>
      </c>
    </row>
    <row r="90" spans="1:14" x14ac:dyDescent="0.3">
      <c r="A90" s="38" t="s">
        <v>128</v>
      </c>
      <c r="B90" s="41" t="str">
        <f t="shared" ref="B90:I98" si="116">+IFERROR(B89/A89-1,"nm")</f>
        <v>nm</v>
      </c>
      <c r="C90" s="41">
        <f t="shared" si="116"/>
        <v>0.28918650793650791</v>
      </c>
      <c r="D90" s="41">
        <f t="shared" si="116"/>
        <v>0.12350904193920731</v>
      </c>
      <c r="E90" s="41">
        <f t="shared" si="116"/>
        <v>0.19726027397260282</v>
      </c>
      <c r="F90" s="41">
        <f t="shared" si="116"/>
        <v>0.21910755148741412</v>
      </c>
      <c r="G90" s="41">
        <f t="shared" si="116"/>
        <v>8.7517597372125833E-2</v>
      </c>
      <c r="H90" s="41">
        <f t="shared" si="116"/>
        <v>0.24012944983818763</v>
      </c>
      <c r="I90" s="41">
        <f t="shared" si="116"/>
        <v>-5.7759220598469052E-2</v>
      </c>
      <c r="J90" s="41">
        <f>+J91+J92</f>
        <v>0</v>
      </c>
      <c r="K90" s="41">
        <f t="shared" ref="K90:N90" si="117">+K91+K92</f>
        <v>0</v>
      </c>
      <c r="L90" s="41">
        <f t="shared" si="117"/>
        <v>0</v>
      </c>
      <c r="M90" s="41">
        <f t="shared" si="117"/>
        <v>0</v>
      </c>
      <c r="N90" s="41">
        <f t="shared" si="117"/>
        <v>0</v>
      </c>
    </row>
    <row r="91" spans="1:14" x14ac:dyDescent="0.3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">
      <c r="A92" s="38" t="s">
        <v>137</v>
      </c>
      <c r="B92" s="41" t="str">
        <f t="shared" ref="B92:I92" si="118">+IFERROR(B90-B91,"nm")</f>
        <v>nm</v>
      </c>
      <c r="C92" s="41">
        <f t="shared" si="118"/>
        <v>-4.0813492063492107E-2</v>
      </c>
      <c r="D92" s="41">
        <f t="shared" si="118"/>
        <v>-5.6490958060792684E-2</v>
      </c>
      <c r="E92" s="41">
        <f t="shared" si="118"/>
        <v>3.7260273972602814E-2</v>
      </c>
      <c r="F92" s="41">
        <f t="shared" si="118"/>
        <v>-3.0892448512585879E-2</v>
      </c>
      <c r="G92" s="41">
        <f t="shared" si="118"/>
        <v>-3.2482402627874163E-2</v>
      </c>
      <c r="H92" s="41">
        <f t="shared" si="118"/>
        <v>5.0129449838187623E-2</v>
      </c>
      <c r="I92" s="41">
        <f t="shared" si="118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19">+J93*(1+K94)</f>
        <v>1938</v>
      </c>
      <c r="L93" s="3">
        <f t="shared" si="119"/>
        <v>1938</v>
      </c>
      <c r="M93" s="3">
        <f t="shared" si="119"/>
        <v>1938</v>
      </c>
      <c r="N93" s="3">
        <f t="shared" si="119"/>
        <v>1938</v>
      </c>
    </row>
    <row r="94" spans="1:14" x14ac:dyDescent="0.3">
      <c r="A94" s="38" t="s">
        <v>128</v>
      </c>
      <c r="B94" s="41" t="str">
        <f t="shared" ref="B94:H94" si="120">+IFERROR(B93/A93-1,"nm")</f>
        <v>nm</v>
      </c>
      <c r="C94" s="41">
        <f t="shared" si="120"/>
        <v>0.14054054054054044</v>
      </c>
      <c r="D94" s="41">
        <f t="shared" si="120"/>
        <v>0.12606635071090055</v>
      </c>
      <c r="E94" s="41">
        <f t="shared" si="120"/>
        <v>0.26936026936026947</v>
      </c>
      <c r="F94" s="41">
        <f t="shared" si="120"/>
        <v>0.19893899204244025</v>
      </c>
      <c r="G94" s="41">
        <f t="shared" si="120"/>
        <v>4.8672566371681381E-2</v>
      </c>
      <c r="H94" s="41">
        <f t="shared" si="120"/>
        <v>0.2378691983122363</v>
      </c>
      <c r="I94" s="41">
        <f t="shared" si="116"/>
        <v>-0.17426501917341286</v>
      </c>
      <c r="J94" s="41">
        <f>+J95+J96</f>
        <v>0</v>
      </c>
      <c r="K94" s="41">
        <f t="shared" ref="K94:N94" si="121">+K95+K96</f>
        <v>0</v>
      </c>
      <c r="L94" s="41">
        <f t="shared" si="121"/>
        <v>0</v>
      </c>
      <c r="M94" s="41">
        <f t="shared" si="121"/>
        <v>0</v>
      </c>
      <c r="N94" s="41">
        <f t="shared" si="121"/>
        <v>0</v>
      </c>
    </row>
    <row r="95" spans="1:14" x14ac:dyDescent="0.3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">
      <c r="A96" s="38" t="s">
        <v>137</v>
      </c>
      <c r="B96" s="41" t="str">
        <f t="shared" ref="B96:I96" si="122">+IFERROR(B94-B95,"nm")</f>
        <v>nm</v>
      </c>
      <c r="C96" s="41">
        <f t="shared" si="122"/>
        <v>-2.9459459459459575E-2</v>
      </c>
      <c r="D96" s="41">
        <f t="shared" si="122"/>
        <v>-5.3933649289099439E-2</v>
      </c>
      <c r="E96" s="41">
        <f t="shared" si="122"/>
        <v>3.9360269360269456E-2</v>
      </c>
      <c r="F96" s="41">
        <f t="shared" si="122"/>
        <v>-3.1061007957559755E-2</v>
      </c>
      <c r="G96" s="41">
        <f t="shared" si="122"/>
        <v>-3.1327433628318621E-2</v>
      </c>
      <c r="H96" s="41">
        <f t="shared" si="122"/>
        <v>4.7869198312236294E-2</v>
      </c>
      <c r="I96" s="41">
        <f t="shared" si="122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">
      <c r="A97" s="39" t="s">
        <v>114</v>
      </c>
      <c r="B97" s="3">
        <f t="shared" ref="B97:I97" si="123">B85-B89-B93</f>
        <v>126</v>
      </c>
      <c r="C97" s="3">
        <f t="shared" si="123"/>
        <v>131</v>
      </c>
      <c r="D97" s="3">
        <f t="shared" si="123"/>
        <v>129</v>
      </c>
      <c r="E97" s="3">
        <f t="shared" si="123"/>
        <v>130</v>
      </c>
      <c r="F97" s="3">
        <f t="shared" si="123"/>
        <v>138</v>
      </c>
      <c r="G97" s="3">
        <f t="shared" si="123"/>
        <v>148</v>
      </c>
      <c r="H97" s="3">
        <f t="shared" si="123"/>
        <v>195</v>
      </c>
      <c r="I97" s="3">
        <f t="shared" si="123"/>
        <v>193</v>
      </c>
      <c r="J97" s="3">
        <f>+I97*(1+J98)</f>
        <v>193</v>
      </c>
      <c r="K97" s="3">
        <f t="shared" ref="K97:N97" si="124">+J97*(1+K98)</f>
        <v>193</v>
      </c>
      <c r="L97" s="3">
        <f t="shared" si="124"/>
        <v>193</v>
      </c>
      <c r="M97" s="3">
        <f t="shared" si="124"/>
        <v>193</v>
      </c>
      <c r="N97" s="3">
        <f t="shared" si="124"/>
        <v>193</v>
      </c>
    </row>
    <row r="98" spans="1:14" x14ac:dyDescent="0.3">
      <c r="A98" s="38" t="s">
        <v>128</v>
      </c>
      <c r="B98" s="41" t="str">
        <f t="shared" ref="B98:H98" si="125">+IFERROR(B97/A97-1,"nm")</f>
        <v>nm</v>
      </c>
      <c r="C98" s="41">
        <f t="shared" si="125"/>
        <v>3.9682539682539764E-2</v>
      </c>
      <c r="D98" s="41">
        <f t="shared" si="125"/>
        <v>-1.5267175572519109E-2</v>
      </c>
      <c r="E98" s="41">
        <f t="shared" si="125"/>
        <v>7.7519379844961378E-3</v>
      </c>
      <c r="F98" s="41">
        <f t="shared" si="125"/>
        <v>6.1538461538461542E-2</v>
      </c>
      <c r="G98" s="41">
        <f t="shared" si="125"/>
        <v>7.2463768115942129E-2</v>
      </c>
      <c r="H98" s="41">
        <f t="shared" si="125"/>
        <v>0.31756756756756754</v>
      </c>
      <c r="I98" s="41">
        <f t="shared" si="116"/>
        <v>-1.025641025641022E-2</v>
      </c>
      <c r="J98" s="41">
        <f>+J99+J100</f>
        <v>0</v>
      </c>
      <c r="K98" s="41">
        <f t="shared" ref="K98:N98" si="126">+K99+K100</f>
        <v>0</v>
      </c>
      <c r="L98" s="41">
        <f t="shared" si="126"/>
        <v>0</v>
      </c>
      <c r="M98" s="41">
        <f t="shared" si="126"/>
        <v>0</v>
      </c>
      <c r="N98" s="41">
        <f t="shared" si="126"/>
        <v>0</v>
      </c>
    </row>
    <row r="99" spans="1:14" x14ac:dyDescent="0.3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">
      <c r="A100" s="38" t="s">
        <v>137</v>
      </c>
      <c r="B100" s="41" t="str">
        <f t="shared" ref="B100:I100" si="127">+IFERROR(B98-B99,"nm")</f>
        <v>nm</v>
      </c>
      <c r="C100" s="41">
        <f t="shared" si="127"/>
        <v>-3.0317460317460243E-2</v>
      </c>
      <c r="D100" s="41">
        <f t="shared" si="127"/>
        <v>-4.5267175572519108E-2</v>
      </c>
      <c r="E100" s="41">
        <f t="shared" si="127"/>
        <v>1.775193798449614E-2</v>
      </c>
      <c r="F100" s="41">
        <f t="shared" si="127"/>
        <v>-1.846153846153846E-2</v>
      </c>
      <c r="G100" s="41">
        <f t="shared" si="127"/>
        <v>-3.7536231884057872E-2</v>
      </c>
      <c r="H100" s="41">
        <f t="shared" si="127"/>
        <v>5.7567567567567535E-2</v>
      </c>
      <c r="I100" s="41">
        <f t="shared" si="127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">
      <c r="A101" s="9" t="s">
        <v>129</v>
      </c>
      <c r="B101" s="42">
        <f t="shared" ref="B101:I101" si="128">+B108+B104</f>
        <v>1039</v>
      </c>
      <c r="C101" s="42">
        <f t="shared" si="128"/>
        <v>1420</v>
      </c>
      <c r="D101" s="42">
        <f t="shared" si="128"/>
        <v>1561</v>
      </c>
      <c r="E101" s="42">
        <f t="shared" si="128"/>
        <v>1863</v>
      </c>
      <c r="F101" s="42">
        <f t="shared" si="128"/>
        <v>2426</v>
      </c>
      <c r="G101" s="42">
        <f t="shared" si="128"/>
        <v>2534</v>
      </c>
      <c r="H101" s="42">
        <f t="shared" si="128"/>
        <v>3289</v>
      </c>
      <c r="I101" s="42">
        <f t="shared" si="128"/>
        <v>2406</v>
      </c>
      <c r="J101" s="42">
        <f>+J85*J103</f>
        <v>2406</v>
      </c>
      <c r="K101" s="42">
        <f t="shared" ref="K101:N101" si="129">+K85*K103</f>
        <v>2406</v>
      </c>
      <c r="L101" s="42">
        <f t="shared" si="129"/>
        <v>2406</v>
      </c>
      <c r="M101" s="42">
        <f t="shared" si="129"/>
        <v>2406</v>
      </c>
      <c r="N101" s="42">
        <f t="shared" si="129"/>
        <v>2406</v>
      </c>
    </row>
    <row r="102" spans="1:14" x14ac:dyDescent="0.3">
      <c r="A102" s="40" t="s">
        <v>128</v>
      </c>
      <c r="B102" s="41" t="str">
        <f t="shared" ref="B102:N102" si="130">+IFERROR(B101/A101-1,"nm")</f>
        <v>nm</v>
      </c>
      <c r="C102" s="41">
        <f t="shared" si="130"/>
        <v>0.36669874879692022</v>
      </c>
      <c r="D102" s="41">
        <f t="shared" si="130"/>
        <v>9.9295774647887303E-2</v>
      </c>
      <c r="E102" s="41">
        <f t="shared" si="130"/>
        <v>0.19346572709801402</v>
      </c>
      <c r="F102" s="41">
        <f t="shared" si="130"/>
        <v>0.3022007514761138</v>
      </c>
      <c r="G102" s="41">
        <f t="shared" si="130"/>
        <v>4.4517724649629109E-2</v>
      </c>
      <c r="H102" s="41">
        <f t="shared" si="130"/>
        <v>0.29794790844514596</v>
      </c>
      <c r="I102" s="41">
        <f t="shared" si="130"/>
        <v>-0.26847065977500761</v>
      </c>
      <c r="J102" s="41">
        <f t="shared" si="130"/>
        <v>0</v>
      </c>
      <c r="K102" s="41">
        <f t="shared" si="130"/>
        <v>0</v>
      </c>
      <c r="L102" s="41">
        <f t="shared" si="130"/>
        <v>0</v>
      </c>
      <c r="M102" s="41">
        <f t="shared" si="130"/>
        <v>0</v>
      </c>
      <c r="N102" s="41">
        <f t="shared" si="130"/>
        <v>0</v>
      </c>
    </row>
    <row r="103" spans="1:14" x14ac:dyDescent="0.3">
      <c r="A103" s="40" t="s">
        <v>130</v>
      </c>
      <c r="B103" s="41">
        <f t="shared" ref="B103:I103" si="131">+IFERROR(B101/B$85,"nm")</f>
        <v>0.33876752526899251</v>
      </c>
      <c r="C103" s="41">
        <f t="shared" si="131"/>
        <v>0.37516512549537651</v>
      </c>
      <c r="D103" s="41">
        <f t="shared" si="131"/>
        <v>0.36842105263157893</v>
      </c>
      <c r="E103" s="41">
        <f t="shared" si="131"/>
        <v>0.36287495130502534</v>
      </c>
      <c r="F103" s="41">
        <f t="shared" si="131"/>
        <v>0.3907860824742268</v>
      </c>
      <c r="G103" s="41">
        <f t="shared" si="131"/>
        <v>0.37939811349004343</v>
      </c>
      <c r="H103" s="41">
        <f t="shared" si="131"/>
        <v>0.39674306393244874</v>
      </c>
      <c r="I103" s="41">
        <f t="shared" si="131"/>
        <v>0.31880217304889358</v>
      </c>
      <c r="J103" s="43">
        <f>+I103</f>
        <v>0.31880217304889358</v>
      </c>
      <c r="K103" s="43">
        <f t="shared" ref="K103:N103" si="132">+J103</f>
        <v>0.31880217304889358</v>
      </c>
      <c r="L103" s="43">
        <f t="shared" si="132"/>
        <v>0.31880217304889358</v>
      </c>
      <c r="M103" s="43">
        <f t="shared" si="132"/>
        <v>0.31880217304889358</v>
      </c>
      <c r="N103" s="43">
        <f t="shared" si="132"/>
        <v>0.31880217304889358</v>
      </c>
    </row>
    <row r="104" spans="1:14" x14ac:dyDescent="0.3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3">+K107*K114</f>
        <v>41</v>
      </c>
      <c r="L104" s="42">
        <f t="shared" si="133"/>
        <v>41</v>
      </c>
      <c r="M104" s="42">
        <f t="shared" si="133"/>
        <v>41</v>
      </c>
      <c r="N104" s="42">
        <f t="shared" si="133"/>
        <v>41</v>
      </c>
    </row>
    <row r="105" spans="1:14" x14ac:dyDescent="0.3">
      <c r="A105" s="40" t="s">
        <v>128</v>
      </c>
      <c r="B105" s="41" t="str">
        <f t="shared" ref="B105:N105" si="134">+IFERROR(B104/A104-1,"nm")</f>
        <v>nm</v>
      </c>
      <c r="C105" s="41">
        <f t="shared" si="134"/>
        <v>4.3478260869565188E-2</v>
      </c>
      <c r="D105" s="41">
        <f t="shared" si="134"/>
        <v>0.125</v>
      </c>
      <c r="E105" s="41">
        <f t="shared" si="134"/>
        <v>3.7037037037036979E-2</v>
      </c>
      <c r="F105" s="41">
        <f t="shared" si="134"/>
        <v>-0.1071428571428571</v>
      </c>
      <c r="G105" s="41">
        <f t="shared" si="134"/>
        <v>-0.12</v>
      </c>
      <c r="H105" s="41">
        <f t="shared" si="134"/>
        <v>4.5454545454545414E-2</v>
      </c>
      <c r="I105" s="41">
        <f t="shared" si="134"/>
        <v>-0.10869565217391308</v>
      </c>
      <c r="J105" s="41">
        <f t="shared" si="134"/>
        <v>0</v>
      </c>
      <c r="K105" s="41">
        <f t="shared" si="134"/>
        <v>0</v>
      </c>
      <c r="L105" s="41">
        <f t="shared" si="134"/>
        <v>0</v>
      </c>
      <c r="M105" s="41">
        <f t="shared" si="134"/>
        <v>0</v>
      </c>
      <c r="N105" s="41">
        <f t="shared" si="134"/>
        <v>0</v>
      </c>
    </row>
    <row r="106" spans="1:14" x14ac:dyDescent="0.3">
      <c r="A106" s="40" t="s">
        <v>132</v>
      </c>
      <c r="B106" s="41">
        <f t="shared" ref="B106:N106" si="135">+IFERROR(B104/B$85,"nm")</f>
        <v>1.4998369742419302E-2</v>
      </c>
      <c r="C106" s="41">
        <f t="shared" si="135"/>
        <v>1.2681638044914135E-2</v>
      </c>
      <c r="D106" s="41">
        <f t="shared" si="135"/>
        <v>1.2744866650932263E-2</v>
      </c>
      <c r="E106" s="41">
        <f t="shared" si="135"/>
        <v>1.090767432800935E-2</v>
      </c>
      <c r="F106" s="41">
        <f t="shared" si="135"/>
        <v>8.0541237113402053E-3</v>
      </c>
      <c r="G106" s="41">
        <f t="shared" si="135"/>
        <v>6.5878125467884411E-3</v>
      </c>
      <c r="H106" s="41">
        <f t="shared" si="135"/>
        <v>5.5488540410132689E-3</v>
      </c>
      <c r="I106" s="41">
        <f t="shared" si="135"/>
        <v>5.4326222340002651E-3</v>
      </c>
      <c r="J106" s="41">
        <f t="shared" si="135"/>
        <v>5.4326222340002651E-3</v>
      </c>
      <c r="K106" s="41">
        <f t="shared" si="135"/>
        <v>5.4326222340002651E-3</v>
      </c>
      <c r="L106" s="41">
        <f t="shared" si="135"/>
        <v>5.4326222340002651E-3</v>
      </c>
      <c r="M106" s="41">
        <f t="shared" si="135"/>
        <v>5.4326222340002651E-3</v>
      </c>
      <c r="N106" s="41">
        <f t="shared" si="135"/>
        <v>5.4326222340002651E-3</v>
      </c>
    </row>
    <row r="107" spans="1:14" x14ac:dyDescent="0.3">
      <c r="A107" s="40" t="s">
        <v>139</v>
      </c>
      <c r="B107" s="41">
        <f t="shared" ref="B107:I107" si="136">+IFERROR(B104/B114,"nm")</f>
        <v>0.18110236220472442</v>
      </c>
      <c r="C107" s="41">
        <f t="shared" si="136"/>
        <v>0.20512820512820512</v>
      </c>
      <c r="D107" s="41">
        <f t="shared" si="136"/>
        <v>0.24</v>
      </c>
      <c r="E107" s="41">
        <f t="shared" si="136"/>
        <v>0.21875</v>
      </c>
      <c r="F107" s="41">
        <f t="shared" si="136"/>
        <v>0.2109704641350211</v>
      </c>
      <c r="G107" s="41">
        <f t="shared" si="136"/>
        <v>0.20560747663551401</v>
      </c>
      <c r="H107" s="41">
        <f t="shared" si="136"/>
        <v>0.15972222222222221</v>
      </c>
      <c r="I107" s="41">
        <f t="shared" si="136"/>
        <v>0.13531353135313531</v>
      </c>
      <c r="J107" s="43">
        <f>+I107</f>
        <v>0.13531353135313531</v>
      </c>
      <c r="K107" s="43">
        <f t="shared" ref="K107:N107" si="137">+J107</f>
        <v>0.13531353135313531</v>
      </c>
      <c r="L107" s="43">
        <f t="shared" si="137"/>
        <v>0.13531353135313531</v>
      </c>
      <c r="M107" s="43">
        <f t="shared" si="137"/>
        <v>0.13531353135313531</v>
      </c>
      <c r="N107" s="43">
        <f t="shared" si="137"/>
        <v>0.13531353135313531</v>
      </c>
    </row>
    <row r="108" spans="1:14" x14ac:dyDescent="0.3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38">+K101-K104</f>
        <v>2365</v>
      </c>
      <c r="L108" s="9">
        <f t="shared" si="138"/>
        <v>2365</v>
      </c>
      <c r="M108" s="9">
        <f t="shared" si="138"/>
        <v>2365</v>
      </c>
      <c r="N108" s="9">
        <f t="shared" si="138"/>
        <v>2365</v>
      </c>
    </row>
    <row r="109" spans="1:14" x14ac:dyDescent="0.3">
      <c r="A109" s="40" t="s">
        <v>128</v>
      </c>
      <c r="B109" s="41" t="str">
        <f t="shared" ref="B109:N109" si="139">+IFERROR(B108/A108-1,"nm")</f>
        <v>nm</v>
      </c>
      <c r="C109" s="41">
        <f t="shared" si="139"/>
        <v>0.38167170191339372</v>
      </c>
      <c r="D109" s="41">
        <f t="shared" si="139"/>
        <v>9.8396501457725938E-2</v>
      </c>
      <c r="E109" s="41">
        <f t="shared" si="139"/>
        <v>0.19907100199071004</v>
      </c>
      <c r="F109" s="41">
        <f t="shared" si="139"/>
        <v>0.31488655229662421</v>
      </c>
      <c r="G109" s="41">
        <f t="shared" si="139"/>
        <v>4.7979797979798011E-2</v>
      </c>
      <c r="H109" s="41">
        <f t="shared" si="139"/>
        <v>0.30240963855421676</v>
      </c>
      <c r="I109" s="41">
        <f t="shared" si="139"/>
        <v>-0.27073697193956214</v>
      </c>
      <c r="J109" s="41">
        <f t="shared" si="139"/>
        <v>0</v>
      </c>
      <c r="K109" s="41">
        <f t="shared" si="139"/>
        <v>0</v>
      </c>
      <c r="L109" s="41">
        <f t="shared" si="139"/>
        <v>0</v>
      </c>
      <c r="M109" s="41">
        <f t="shared" si="139"/>
        <v>0</v>
      </c>
      <c r="N109" s="41">
        <f t="shared" si="139"/>
        <v>0</v>
      </c>
    </row>
    <row r="110" spans="1:14" x14ac:dyDescent="0.3">
      <c r="A110" s="40" t="s">
        <v>130</v>
      </c>
      <c r="B110" s="41">
        <f t="shared" ref="B110:I110" si="140">+IFERROR(B108/B$85,"nm")</f>
        <v>0.3237691555265732</v>
      </c>
      <c r="C110" s="41">
        <f t="shared" si="140"/>
        <v>0.36248348745046233</v>
      </c>
      <c r="D110" s="41">
        <f t="shared" si="140"/>
        <v>0.35567618598064671</v>
      </c>
      <c r="E110" s="41">
        <f t="shared" si="140"/>
        <v>0.35196727697701596</v>
      </c>
      <c r="F110" s="41">
        <f t="shared" si="140"/>
        <v>0.38273195876288657</v>
      </c>
      <c r="G110" s="41">
        <f t="shared" si="140"/>
        <v>0.37281030094325496</v>
      </c>
      <c r="H110" s="41">
        <f t="shared" si="140"/>
        <v>0.39119420989143544</v>
      </c>
      <c r="I110" s="41">
        <f t="shared" si="140"/>
        <v>0.31336955081489332</v>
      </c>
      <c r="J110" s="41">
        <f t="shared" ref="J110:N110" si="141">+IFERROR(J108/J$21,"nm")</f>
        <v>0.12886176646869721</v>
      </c>
      <c r="K110" s="41">
        <f t="shared" si="141"/>
        <v>0.12886176646869721</v>
      </c>
      <c r="L110" s="41">
        <f t="shared" si="141"/>
        <v>0.12886176646869721</v>
      </c>
      <c r="M110" s="41">
        <f t="shared" si="141"/>
        <v>0.12886176646869721</v>
      </c>
      <c r="N110" s="41">
        <f t="shared" si="141"/>
        <v>0.12886176646869721</v>
      </c>
    </row>
    <row r="111" spans="1:14" x14ac:dyDescent="0.3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2">+K85*K113</f>
        <v>78</v>
      </c>
      <c r="L111" s="42">
        <f t="shared" si="142"/>
        <v>78</v>
      </c>
      <c r="M111" s="42">
        <f t="shared" si="142"/>
        <v>78</v>
      </c>
      <c r="N111" s="42">
        <f t="shared" si="142"/>
        <v>78</v>
      </c>
    </row>
    <row r="112" spans="1:14" x14ac:dyDescent="0.3">
      <c r="A112" s="40" t="s">
        <v>128</v>
      </c>
      <c r="B112" s="41" t="str">
        <f t="shared" ref="B112:N112" si="143">+IFERROR(B111/A111-1,"nm")</f>
        <v>nm</v>
      </c>
      <c r="C112" s="41">
        <f t="shared" si="143"/>
        <v>-0.3623188405797102</v>
      </c>
      <c r="D112" s="41">
        <f t="shared" si="143"/>
        <v>0.15909090909090917</v>
      </c>
      <c r="E112" s="41">
        <f t="shared" si="143"/>
        <v>0.49019607843137258</v>
      </c>
      <c r="F112" s="41">
        <f t="shared" si="143"/>
        <v>-0.35526315789473684</v>
      </c>
      <c r="G112" s="41">
        <f t="shared" si="143"/>
        <v>-0.4285714285714286</v>
      </c>
      <c r="H112" s="41">
        <f t="shared" si="143"/>
        <v>2.3571428571428572</v>
      </c>
      <c r="I112" s="41">
        <f t="shared" si="143"/>
        <v>-0.17021276595744683</v>
      </c>
      <c r="J112" s="41">
        <f t="shared" si="143"/>
        <v>0</v>
      </c>
      <c r="K112" s="41">
        <f t="shared" si="143"/>
        <v>0</v>
      </c>
      <c r="L112" s="41">
        <f t="shared" si="143"/>
        <v>0</v>
      </c>
      <c r="M112" s="41">
        <f t="shared" si="143"/>
        <v>0</v>
      </c>
      <c r="N112" s="41">
        <f t="shared" si="143"/>
        <v>0</v>
      </c>
    </row>
    <row r="113" spans="1:14" x14ac:dyDescent="0.3">
      <c r="A113" s="40" t="s">
        <v>132</v>
      </c>
      <c r="B113" s="41">
        <f t="shared" ref="B113:I113" si="144">+IFERROR(B111/B$85,"nm")</f>
        <v>2.2497554613628953E-2</v>
      </c>
      <c r="C113" s="41">
        <f t="shared" si="144"/>
        <v>1.1624834874504624E-2</v>
      </c>
      <c r="D113" s="41">
        <f t="shared" si="144"/>
        <v>1.2036818503658248E-2</v>
      </c>
      <c r="E113" s="41">
        <f t="shared" si="144"/>
        <v>1.4803272302298403E-2</v>
      </c>
      <c r="F113" s="41">
        <f t="shared" si="144"/>
        <v>7.8930412371134018E-3</v>
      </c>
      <c r="G113" s="41">
        <f t="shared" si="144"/>
        <v>4.1922443479562805E-3</v>
      </c>
      <c r="H113" s="41">
        <f t="shared" si="144"/>
        <v>1.1338962605548853E-2</v>
      </c>
      <c r="I113" s="41">
        <f t="shared" si="144"/>
        <v>1.0335232542732211E-2</v>
      </c>
      <c r="J113" s="43">
        <f>+I113</f>
        <v>1.0335232542732211E-2</v>
      </c>
      <c r="K113" s="43">
        <f t="shared" ref="K113:N113" si="145">+J113</f>
        <v>1.0335232542732211E-2</v>
      </c>
      <c r="L113" s="43">
        <f t="shared" si="145"/>
        <v>1.0335232542732211E-2</v>
      </c>
      <c r="M113" s="43">
        <f t="shared" si="145"/>
        <v>1.0335232542732211E-2</v>
      </c>
      <c r="N113" s="43">
        <f t="shared" si="145"/>
        <v>1.0335232542732211E-2</v>
      </c>
    </row>
    <row r="114" spans="1:14" x14ac:dyDescent="0.3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46">+K85*K116</f>
        <v>303</v>
      </c>
      <c r="L114" s="42">
        <f t="shared" si="146"/>
        <v>303</v>
      </c>
      <c r="M114" s="42">
        <f t="shared" si="146"/>
        <v>303</v>
      </c>
      <c r="N114" s="42">
        <f t="shared" si="146"/>
        <v>303</v>
      </c>
    </row>
    <row r="115" spans="1:14" x14ac:dyDescent="0.3">
      <c r="A115" s="40" t="s">
        <v>128</v>
      </c>
      <c r="B115" s="41" t="str">
        <f t="shared" ref="B115:H115" si="147">+IFERROR(B114/A114-1,"nm")</f>
        <v>nm</v>
      </c>
      <c r="C115" s="41">
        <f t="shared" si="147"/>
        <v>-7.8740157480314932E-2</v>
      </c>
      <c r="D115" s="41">
        <f t="shared" si="147"/>
        <v>-3.8461538461538436E-2</v>
      </c>
      <c r="E115" s="41">
        <f t="shared" si="147"/>
        <v>0.13777777777777778</v>
      </c>
      <c r="F115" s="41">
        <f t="shared" si="147"/>
        <v>-7.421875E-2</v>
      </c>
      <c r="G115" s="41">
        <f t="shared" si="147"/>
        <v>-9.7046413502109741E-2</v>
      </c>
      <c r="H115" s="41">
        <f t="shared" si="147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48">+K116+K117</f>
        <v>4.0148403339075128E-2</v>
      </c>
      <c r="L115" s="41">
        <f t="shared" si="148"/>
        <v>4.0148403339075128E-2</v>
      </c>
      <c r="M115" s="41">
        <f t="shared" si="148"/>
        <v>4.0148403339075128E-2</v>
      </c>
      <c r="N115" s="41">
        <f t="shared" si="148"/>
        <v>4.0148403339075128E-2</v>
      </c>
    </row>
    <row r="116" spans="1:14" x14ac:dyDescent="0.3">
      <c r="A116" s="40" t="s">
        <v>132</v>
      </c>
      <c r="B116" s="41">
        <f t="shared" ref="B116:I116" si="149">+IFERROR(B114/B$85,"nm")</f>
        <v>8.2817085099445714E-2</v>
      </c>
      <c r="C116" s="41">
        <f t="shared" si="149"/>
        <v>6.1822985468956405E-2</v>
      </c>
      <c r="D116" s="41">
        <f t="shared" si="149"/>
        <v>5.31036110455511E-2</v>
      </c>
      <c r="E116" s="41">
        <f t="shared" si="149"/>
        <v>4.9863654070899883E-2</v>
      </c>
      <c r="F116" s="41">
        <f t="shared" si="149"/>
        <v>3.817654639175258E-2</v>
      </c>
      <c r="G116" s="41">
        <f t="shared" si="149"/>
        <v>3.2040724659380147E-2</v>
      </c>
      <c r="H116" s="41">
        <f t="shared" si="149"/>
        <v>3.4740651387213509E-2</v>
      </c>
      <c r="I116" s="41">
        <f t="shared" si="149"/>
        <v>4.0148403339075128E-2</v>
      </c>
      <c r="J116" s="43">
        <f>+I116</f>
        <v>4.0148403339075128E-2</v>
      </c>
      <c r="K116" s="43">
        <f t="shared" ref="K116:N116" si="150">+J116</f>
        <v>4.0148403339075128E-2</v>
      </c>
      <c r="L116" s="43">
        <f t="shared" si="150"/>
        <v>4.0148403339075128E-2</v>
      </c>
      <c r="M116" s="43">
        <f t="shared" si="150"/>
        <v>4.0148403339075128E-2</v>
      </c>
      <c r="N116" s="43">
        <f t="shared" si="150"/>
        <v>4.0148403339075128E-2</v>
      </c>
    </row>
    <row r="117" spans="1:14" x14ac:dyDescent="0.3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1">+SUM(K122+K126+K130)</f>
        <v>5955</v>
      </c>
      <c r="L118" s="9">
        <f t="shared" si="151"/>
        <v>5955</v>
      </c>
      <c r="M118" s="9">
        <f t="shared" si="151"/>
        <v>5955</v>
      </c>
      <c r="N118" s="9">
        <f t="shared" si="151"/>
        <v>5955</v>
      </c>
    </row>
    <row r="119" spans="1:14" x14ac:dyDescent="0.3">
      <c r="A119" s="38" t="s">
        <v>128</v>
      </c>
      <c r="B119" s="41" t="str">
        <f t="shared" ref="B119:I119" si="152">+IFERROR(B118/A118-1,"nm")</f>
        <v>nm</v>
      </c>
      <c r="C119" s="41" t="str">
        <f t="shared" si="152"/>
        <v>nm</v>
      </c>
      <c r="D119" s="41" t="str">
        <f t="shared" si="152"/>
        <v>nm</v>
      </c>
      <c r="E119" s="41" t="str">
        <f t="shared" si="152"/>
        <v>nm</v>
      </c>
      <c r="F119" s="41">
        <f t="shared" si="152"/>
        <v>1.7034456058846237E-2</v>
      </c>
      <c r="G119" s="41">
        <f t="shared" si="152"/>
        <v>-4.3014845831747195E-2</v>
      </c>
      <c r="H119" s="41">
        <f t="shared" si="152"/>
        <v>6.2649164677804237E-2</v>
      </c>
      <c r="I119" s="41">
        <f t="shared" si="152"/>
        <v>0.11454239191465465</v>
      </c>
      <c r="J119" s="41">
        <f>+IFERROR(J118/I118-1,"nm")</f>
        <v>0</v>
      </c>
      <c r="K119" s="41">
        <f t="shared" ref="K119:N119" si="153">+IFERROR(K118/J118-1,"nm")</f>
        <v>0</v>
      </c>
      <c r="L119" s="41">
        <f t="shared" si="153"/>
        <v>0</v>
      </c>
      <c r="M119" s="41">
        <f t="shared" si="153"/>
        <v>0</v>
      </c>
      <c r="N119" s="41">
        <f t="shared" si="153"/>
        <v>0</v>
      </c>
    </row>
    <row r="120" spans="1:14" x14ac:dyDescent="0.3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">
      <c r="A121" s="38" t="s">
        <v>137</v>
      </c>
      <c r="B121" s="41" t="str">
        <f t="shared" ref="B121:H121" si="154">+IFERROR(B119-B120,"nm")</f>
        <v>nm</v>
      </c>
      <c r="C121" s="41" t="str">
        <f t="shared" si="154"/>
        <v>nm</v>
      </c>
      <c r="D121" s="41" t="str">
        <f t="shared" si="154"/>
        <v>nm</v>
      </c>
      <c r="E121" s="41" t="str">
        <f t="shared" si="154"/>
        <v>nm</v>
      </c>
      <c r="F121" s="41">
        <f t="shared" si="154"/>
        <v>-0.11296554394115377</v>
      </c>
      <c r="G121" s="41">
        <f t="shared" si="154"/>
        <v>-5.3014845831747197E-2</v>
      </c>
      <c r="H121" s="41">
        <f t="shared" si="154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5">+J122*(1+K123)</f>
        <v>4111</v>
      </c>
      <c r="L122" s="3">
        <f t="shared" si="155"/>
        <v>4111</v>
      </c>
      <c r="M122" s="3">
        <f t="shared" si="155"/>
        <v>4111</v>
      </c>
      <c r="N122" s="3">
        <f t="shared" si="155"/>
        <v>4111</v>
      </c>
    </row>
    <row r="123" spans="1:14" x14ac:dyDescent="0.3">
      <c r="A123" s="38" t="s">
        <v>128</v>
      </c>
      <c r="B123" s="41" t="str">
        <f t="shared" ref="B123:H123" si="156">+IFERROR(B122/A122-1,"nm")</f>
        <v>nm</v>
      </c>
      <c r="C123" s="41" t="str">
        <f t="shared" si="156"/>
        <v>nm</v>
      </c>
      <c r="D123" s="41" t="str">
        <f t="shared" si="156"/>
        <v>nm</v>
      </c>
      <c r="E123" s="41" t="str">
        <f t="shared" si="156"/>
        <v>nm</v>
      </c>
      <c r="F123" s="41">
        <f t="shared" si="156"/>
        <v>1.3146853146853044E-2</v>
      </c>
      <c r="G123" s="41">
        <f t="shared" si="156"/>
        <v>-4.7763666482606326E-2</v>
      </c>
      <c r="H123" s="41">
        <f t="shared" si="156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57">+K124+K125</f>
        <v>0</v>
      </c>
      <c r="L123" s="41">
        <f t="shared" si="157"/>
        <v>0</v>
      </c>
      <c r="M123" s="41">
        <f t="shared" si="157"/>
        <v>0</v>
      </c>
      <c r="N123" s="41">
        <f t="shared" si="157"/>
        <v>0</v>
      </c>
    </row>
    <row r="124" spans="1:14" x14ac:dyDescent="0.3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">
      <c r="A125" s="38" t="s">
        <v>137</v>
      </c>
      <c r="B125" s="41" t="str">
        <f t="shared" ref="B125:H125" si="158">+IFERROR(B123-B124,"nm")</f>
        <v>nm</v>
      </c>
      <c r="C125" s="41" t="str">
        <f t="shared" si="158"/>
        <v>nm</v>
      </c>
      <c r="D125" s="41" t="str">
        <f t="shared" si="158"/>
        <v>nm</v>
      </c>
      <c r="E125" s="41" t="str">
        <f t="shared" si="158"/>
        <v>nm</v>
      </c>
      <c r="F125" s="41">
        <f t="shared" si="158"/>
        <v>-0.10685314685314695</v>
      </c>
      <c r="G125" s="41">
        <f t="shared" si="158"/>
        <v>-4.7763666482606326E-2</v>
      </c>
      <c r="H125" s="41">
        <f t="shared" si="158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59">+J126*(1+K127)</f>
        <v>1610</v>
      </c>
      <c r="L126" s="3">
        <f t="shared" si="159"/>
        <v>1610</v>
      </c>
      <c r="M126" s="3">
        <f t="shared" si="159"/>
        <v>1610</v>
      </c>
      <c r="N126" s="3">
        <f t="shared" si="159"/>
        <v>1610</v>
      </c>
    </row>
    <row r="127" spans="1:14" x14ac:dyDescent="0.3">
      <c r="A127" s="38" t="s">
        <v>128</v>
      </c>
      <c r="B127" s="41" t="str">
        <f t="shared" ref="B127:H127" si="160">+IFERROR(B126/A126-1,"nm")</f>
        <v>nm</v>
      </c>
      <c r="C127" s="41" t="str">
        <f t="shared" si="160"/>
        <v>nm</v>
      </c>
      <c r="D127" s="41" t="str">
        <f t="shared" si="160"/>
        <v>nm</v>
      </c>
      <c r="E127" s="41" t="str">
        <f t="shared" si="160"/>
        <v>nm</v>
      </c>
      <c r="F127" s="41">
        <f t="shared" si="160"/>
        <v>3.563474387527843E-2</v>
      </c>
      <c r="G127" s="41">
        <f t="shared" si="160"/>
        <v>-2.1505376344086002E-2</v>
      </c>
      <c r="H127" s="41">
        <f t="shared" si="160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1">+K128+K129</f>
        <v>0</v>
      </c>
      <c r="L127" s="41">
        <f t="shared" si="161"/>
        <v>0</v>
      </c>
      <c r="M127" s="41">
        <f t="shared" si="161"/>
        <v>0</v>
      </c>
      <c r="N127" s="41">
        <f t="shared" si="161"/>
        <v>0</v>
      </c>
    </row>
    <row r="128" spans="1:14" x14ac:dyDescent="0.3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">
      <c r="A129" s="38" t="s">
        <v>137</v>
      </c>
      <c r="B129" s="41" t="str">
        <f t="shared" ref="B129:H129" si="162">+IFERROR(B127-B128,"nm")</f>
        <v>nm</v>
      </c>
      <c r="C129" s="41" t="str">
        <f t="shared" si="162"/>
        <v>nm</v>
      </c>
      <c r="D129" s="41" t="str">
        <f t="shared" si="162"/>
        <v>nm</v>
      </c>
      <c r="E129" s="41" t="str">
        <f t="shared" si="162"/>
        <v>nm</v>
      </c>
      <c r="F129" s="41">
        <f t="shared" si="162"/>
        <v>-0.11436525612472156</v>
      </c>
      <c r="G129" s="41">
        <f t="shared" si="162"/>
        <v>-5.1505376344086001E-2</v>
      </c>
      <c r="H129" s="41">
        <f t="shared" si="162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">
      <c r="A130" s="39" t="s">
        <v>114</v>
      </c>
      <c r="B130" s="3">
        <f t="shared" ref="B130:I130" si="163">B118-B122-B126</f>
        <v>0</v>
      </c>
      <c r="C130" s="3">
        <f t="shared" si="163"/>
        <v>0</v>
      </c>
      <c r="D130" s="3">
        <f t="shared" si="163"/>
        <v>0</v>
      </c>
      <c r="E130" s="3">
        <f t="shared" si="163"/>
        <v>244</v>
      </c>
      <c r="F130" s="3">
        <f t="shared" si="163"/>
        <v>237</v>
      </c>
      <c r="G130" s="3">
        <f t="shared" si="163"/>
        <v>214</v>
      </c>
      <c r="H130" s="3">
        <f t="shared" si="163"/>
        <v>190</v>
      </c>
      <c r="I130" s="3">
        <f t="shared" si="163"/>
        <v>234</v>
      </c>
      <c r="J130" s="3">
        <f>+I130*(1+J131)</f>
        <v>234</v>
      </c>
      <c r="K130" s="3">
        <f t="shared" ref="K130:N130" si="164">+J130*(1+K131)</f>
        <v>234</v>
      </c>
      <c r="L130" s="3">
        <f t="shared" si="164"/>
        <v>234</v>
      </c>
      <c r="M130" s="3">
        <f t="shared" si="164"/>
        <v>234</v>
      </c>
      <c r="N130" s="3">
        <f t="shared" si="164"/>
        <v>234</v>
      </c>
    </row>
    <row r="131" spans="1:14" x14ac:dyDescent="0.3">
      <c r="A131" s="38" t="s">
        <v>128</v>
      </c>
      <c r="B131" s="41" t="str">
        <f t="shared" ref="B131:H131" si="165">+IFERROR(B130/A130-1,"nm")</f>
        <v>nm</v>
      </c>
      <c r="C131" s="41" t="str">
        <f t="shared" si="165"/>
        <v>nm</v>
      </c>
      <c r="D131" s="41" t="str">
        <f t="shared" si="165"/>
        <v>nm</v>
      </c>
      <c r="E131" s="41" t="str">
        <f t="shared" si="165"/>
        <v>nm</v>
      </c>
      <c r="F131" s="41">
        <f t="shared" si="165"/>
        <v>-2.8688524590163911E-2</v>
      </c>
      <c r="G131" s="41">
        <f t="shared" si="165"/>
        <v>-9.7046413502109741E-2</v>
      </c>
      <c r="H131" s="41">
        <f t="shared" si="165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66">+K132+K133</f>
        <v>0</v>
      </c>
      <c r="L131" s="41">
        <f t="shared" si="166"/>
        <v>0</v>
      </c>
      <c r="M131" s="41">
        <f t="shared" si="166"/>
        <v>0</v>
      </c>
      <c r="N131" s="41">
        <f t="shared" si="166"/>
        <v>0</v>
      </c>
    </row>
    <row r="132" spans="1:14" x14ac:dyDescent="0.3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">
      <c r="A133" s="38" t="s">
        <v>137</v>
      </c>
      <c r="B133" s="41" t="str">
        <f t="shared" ref="B133:H133" si="167">+IFERROR(B131-B132,"nm")</f>
        <v>nm</v>
      </c>
      <c r="C133" s="41" t="str">
        <f t="shared" si="167"/>
        <v>nm</v>
      </c>
      <c r="D133" s="41" t="str">
        <f t="shared" si="167"/>
        <v>nm</v>
      </c>
      <c r="E133" s="41" t="str">
        <f t="shared" si="167"/>
        <v>nm</v>
      </c>
      <c r="F133" s="41">
        <f t="shared" si="167"/>
        <v>-0.10868852459016391</v>
      </c>
      <c r="G133" s="41">
        <f t="shared" si="167"/>
        <v>-5.704641350210974E-2</v>
      </c>
      <c r="H133" s="41">
        <f t="shared" si="167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">
      <c r="A134" s="9" t="s">
        <v>129</v>
      </c>
      <c r="B134" s="42">
        <f t="shared" ref="B134:I134" si="168">+B141+B137</f>
        <v>0</v>
      </c>
      <c r="C134" s="42">
        <f t="shared" si="168"/>
        <v>42</v>
      </c>
      <c r="D134" s="42">
        <f t="shared" si="168"/>
        <v>54</v>
      </c>
      <c r="E134" s="42">
        <f t="shared" si="168"/>
        <v>1244</v>
      </c>
      <c r="F134" s="42">
        <f t="shared" si="168"/>
        <v>1376</v>
      </c>
      <c r="G134" s="42">
        <f t="shared" si="168"/>
        <v>1230</v>
      </c>
      <c r="H134" s="42">
        <f t="shared" si="168"/>
        <v>1573</v>
      </c>
      <c r="I134" s="42">
        <f t="shared" si="168"/>
        <v>1938</v>
      </c>
      <c r="J134" s="42">
        <f>+J118*J136</f>
        <v>1938</v>
      </c>
      <c r="K134" s="42">
        <f t="shared" ref="K134:N134" si="169">+K118*K136</f>
        <v>1938</v>
      </c>
      <c r="L134" s="42">
        <f t="shared" si="169"/>
        <v>1938</v>
      </c>
      <c r="M134" s="42">
        <f t="shared" si="169"/>
        <v>1938</v>
      </c>
      <c r="N134" s="42">
        <f t="shared" si="169"/>
        <v>1938</v>
      </c>
    </row>
    <row r="135" spans="1:14" x14ac:dyDescent="0.3">
      <c r="A135" s="40" t="s">
        <v>128</v>
      </c>
      <c r="B135" s="41" t="str">
        <f t="shared" ref="B135:N135" si="170">+IFERROR(B134/A134-1,"nm")</f>
        <v>nm</v>
      </c>
      <c r="C135" s="41" t="str">
        <f t="shared" si="170"/>
        <v>nm</v>
      </c>
      <c r="D135" s="41">
        <f t="shared" si="170"/>
        <v>0.28571428571428581</v>
      </c>
      <c r="E135" s="41">
        <f t="shared" si="170"/>
        <v>22.037037037037038</v>
      </c>
      <c r="F135" s="41">
        <f t="shared" si="170"/>
        <v>0.10610932475884249</v>
      </c>
      <c r="G135" s="41">
        <f t="shared" si="170"/>
        <v>-0.10610465116279066</v>
      </c>
      <c r="H135" s="41">
        <f t="shared" si="170"/>
        <v>0.27886178861788613</v>
      </c>
      <c r="I135" s="41">
        <f t="shared" si="170"/>
        <v>0.23204068658614108</v>
      </c>
      <c r="J135" s="41">
        <f t="shared" si="170"/>
        <v>0</v>
      </c>
      <c r="K135" s="41">
        <f t="shared" si="170"/>
        <v>0</v>
      </c>
      <c r="L135" s="41">
        <f t="shared" si="170"/>
        <v>0</v>
      </c>
      <c r="M135" s="41">
        <f t="shared" si="170"/>
        <v>0</v>
      </c>
      <c r="N135" s="41">
        <f t="shared" si="170"/>
        <v>0</v>
      </c>
    </row>
    <row r="136" spans="1:14" x14ac:dyDescent="0.3">
      <c r="A136" s="40" t="s">
        <v>130</v>
      </c>
      <c r="B136" s="41" t="str">
        <f t="shared" ref="B136:I136" si="171">+IFERROR(B134/B$118,"nm")</f>
        <v>nm</v>
      </c>
      <c r="C136" s="41" t="str">
        <f t="shared" si="171"/>
        <v>nm</v>
      </c>
      <c r="D136" s="41" t="str">
        <f t="shared" si="171"/>
        <v>nm</v>
      </c>
      <c r="E136" s="41">
        <f t="shared" si="171"/>
        <v>0.2408052651955091</v>
      </c>
      <c r="F136" s="41">
        <f t="shared" si="171"/>
        <v>0.26189569851541683</v>
      </c>
      <c r="G136" s="41">
        <f t="shared" si="171"/>
        <v>0.24463007159904535</v>
      </c>
      <c r="H136" s="41">
        <f t="shared" si="171"/>
        <v>0.2944038929440389</v>
      </c>
      <c r="I136" s="41">
        <f t="shared" si="171"/>
        <v>0.32544080604534004</v>
      </c>
      <c r="J136" s="43">
        <f>+I136</f>
        <v>0.32544080604534004</v>
      </c>
      <c r="K136" s="43">
        <f t="shared" ref="K136:N136" si="172">+J136</f>
        <v>0.32544080604534004</v>
      </c>
      <c r="L136" s="43">
        <f t="shared" si="172"/>
        <v>0.32544080604534004</v>
      </c>
      <c r="M136" s="43">
        <f t="shared" si="172"/>
        <v>0.32544080604534004</v>
      </c>
      <c r="N136" s="43">
        <f t="shared" si="172"/>
        <v>0.32544080604534004</v>
      </c>
    </row>
    <row r="137" spans="1:14" x14ac:dyDescent="0.3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73">+K140*K147</f>
        <v>42</v>
      </c>
      <c r="L137" s="42">
        <f t="shared" si="173"/>
        <v>42</v>
      </c>
      <c r="M137" s="42">
        <f t="shared" si="173"/>
        <v>42</v>
      </c>
      <c r="N137" s="42">
        <f t="shared" si="173"/>
        <v>42</v>
      </c>
    </row>
    <row r="138" spans="1:14" x14ac:dyDescent="0.3">
      <c r="A138" s="40" t="s">
        <v>128</v>
      </c>
      <c r="B138" s="41" t="str">
        <f t="shared" ref="B138:N138" si="174">+IFERROR(B137/A137-1,"nm")</f>
        <v>nm</v>
      </c>
      <c r="C138" s="41" t="str">
        <f t="shared" si="174"/>
        <v>nm</v>
      </c>
      <c r="D138" s="41">
        <f t="shared" si="174"/>
        <v>0.28571428571428581</v>
      </c>
      <c r="E138" s="41">
        <f t="shared" si="174"/>
        <v>1.8518518518518601E-2</v>
      </c>
      <c r="F138" s="41">
        <f t="shared" si="174"/>
        <v>-3.6363636363636376E-2</v>
      </c>
      <c r="G138" s="41">
        <f t="shared" si="174"/>
        <v>-0.13207547169811318</v>
      </c>
      <c r="H138" s="41">
        <f t="shared" si="174"/>
        <v>-6.5217391304347783E-2</v>
      </c>
      <c r="I138" s="41">
        <f t="shared" si="174"/>
        <v>-2.3255813953488413E-2</v>
      </c>
      <c r="J138" s="41">
        <f t="shared" si="174"/>
        <v>0</v>
      </c>
      <c r="K138" s="41">
        <f t="shared" si="174"/>
        <v>0</v>
      </c>
      <c r="L138" s="41">
        <f t="shared" si="174"/>
        <v>0</v>
      </c>
      <c r="M138" s="41">
        <f t="shared" si="174"/>
        <v>0</v>
      </c>
      <c r="N138" s="41">
        <f t="shared" si="174"/>
        <v>0</v>
      </c>
    </row>
    <row r="139" spans="1:14" x14ac:dyDescent="0.3">
      <c r="A139" s="40" t="s">
        <v>132</v>
      </c>
      <c r="B139" s="41" t="str">
        <f t="shared" ref="B139:N139" si="175">+IFERROR(B137/B$118,"nm")</f>
        <v>nm</v>
      </c>
      <c r="C139" s="41" t="str">
        <f t="shared" si="175"/>
        <v>nm</v>
      </c>
      <c r="D139" s="41" t="str">
        <f t="shared" si="175"/>
        <v>nm</v>
      </c>
      <c r="E139" s="41">
        <f t="shared" si="175"/>
        <v>1.064653503677894E-2</v>
      </c>
      <c r="F139" s="41">
        <f t="shared" si="175"/>
        <v>1.0087552341073468E-2</v>
      </c>
      <c r="G139" s="41">
        <f t="shared" si="175"/>
        <v>9.148766905330152E-3</v>
      </c>
      <c r="H139" s="41">
        <f t="shared" si="175"/>
        <v>8.0479131574022079E-3</v>
      </c>
      <c r="I139" s="41">
        <f t="shared" si="175"/>
        <v>7.0528967254408059E-3</v>
      </c>
      <c r="J139" s="41">
        <f t="shared" si="175"/>
        <v>7.0528967254408059E-3</v>
      </c>
      <c r="K139" s="41">
        <f t="shared" si="175"/>
        <v>7.0528967254408059E-3</v>
      </c>
      <c r="L139" s="41">
        <f t="shared" si="175"/>
        <v>7.0528967254408059E-3</v>
      </c>
      <c r="M139" s="41">
        <f t="shared" si="175"/>
        <v>7.0528967254408059E-3</v>
      </c>
      <c r="N139" s="41">
        <f t="shared" si="175"/>
        <v>7.0528967254408059E-3</v>
      </c>
    </row>
    <row r="140" spans="1:14" x14ac:dyDescent="0.3">
      <c r="A140" s="40" t="s">
        <v>139</v>
      </c>
      <c r="B140" s="41" t="str">
        <f t="shared" ref="B140:I140" si="176">+IFERROR(B137/B147,"nm")</f>
        <v>nm</v>
      </c>
      <c r="C140" s="41" t="str">
        <f t="shared" si="176"/>
        <v>nm</v>
      </c>
      <c r="D140" s="41">
        <f t="shared" si="176"/>
        <v>0.1588235294117647</v>
      </c>
      <c r="E140" s="41">
        <f t="shared" si="176"/>
        <v>0.16224188790560473</v>
      </c>
      <c r="F140" s="41">
        <f t="shared" si="176"/>
        <v>0.16257668711656442</v>
      </c>
      <c r="G140" s="41">
        <f t="shared" si="176"/>
        <v>0.1554054054054054</v>
      </c>
      <c r="H140" s="41">
        <f t="shared" si="176"/>
        <v>0.14144736842105263</v>
      </c>
      <c r="I140" s="41">
        <f t="shared" si="176"/>
        <v>0.15328467153284672</v>
      </c>
      <c r="J140" s="43">
        <f>+I140</f>
        <v>0.15328467153284672</v>
      </c>
      <c r="K140" s="43">
        <f t="shared" ref="K140:N140" si="177">+J140</f>
        <v>0.15328467153284672</v>
      </c>
      <c r="L140" s="43">
        <f t="shared" si="177"/>
        <v>0.15328467153284672</v>
      </c>
      <c r="M140" s="43">
        <f t="shared" si="177"/>
        <v>0.15328467153284672</v>
      </c>
      <c r="N140" s="43">
        <f t="shared" si="177"/>
        <v>0.15328467153284672</v>
      </c>
    </row>
    <row r="141" spans="1:14" x14ac:dyDescent="0.3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78">+K134-K137</f>
        <v>1896</v>
      </c>
      <c r="L141" s="9">
        <f t="shared" si="178"/>
        <v>1896</v>
      </c>
      <c r="M141" s="9">
        <f t="shared" si="178"/>
        <v>1896</v>
      </c>
      <c r="N141" s="9">
        <f t="shared" si="178"/>
        <v>1896</v>
      </c>
    </row>
    <row r="142" spans="1:14" x14ac:dyDescent="0.3">
      <c r="A142" s="40" t="s">
        <v>128</v>
      </c>
      <c r="B142" s="41" t="str">
        <f t="shared" ref="B142:N142" si="179">+IFERROR(B141/A141-1,"nm")</f>
        <v>nm</v>
      </c>
      <c r="C142" s="41" t="str">
        <f t="shared" si="179"/>
        <v>nm</v>
      </c>
      <c r="D142" s="41" t="str">
        <f t="shared" si="179"/>
        <v>nm</v>
      </c>
      <c r="E142" s="41" t="str">
        <f t="shared" si="179"/>
        <v>nm</v>
      </c>
      <c r="F142" s="41">
        <f t="shared" si="179"/>
        <v>0.11269974768713209</v>
      </c>
      <c r="G142" s="41">
        <f t="shared" si="179"/>
        <v>-0.1050642479213908</v>
      </c>
      <c r="H142" s="41">
        <f t="shared" si="179"/>
        <v>0.29222972972972983</v>
      </c>
      <c r="I142" s="41">
        <f t="shared" si="179"/>
        <v>0.23921568627450984</v>
      </c>
      <c r="J142" s="41">
        <f t="shared" si="179"/>
        <v>0</v>
      </c>
      <c r="K142" s="41">
        <f t="shared" si="179"/>
        <v>0</v>
      </c>
      <c r="L142" s="41">
        <f t="shared" si="179"/>
        <v>0</v>
      </c>
      <c r="M142" s="41">
        <f t="shared" si="179"/>
        <v>0</v>
      </c>
      <c r="N142" s="41">
        <f t="shared" si="179"/>
        <v>0</v>
      </c>
    </row>
    <row r="143" spans="1:14" x14ac:dyDescent="0.3">
      <c r="A143" s="40" t="s">
        <v>130</v>
      </c>
      <c r="B143" s="41" t="str">
        <f t="shared" ref="B143:I143" si="180">+IFERROR(B141/B$118,"nm")</f>
        <v>nm</v>
      </c>
      <c r="C143" s="41" t="str">
        <f t="shared" si="180"/>
        <v>nm</v>
      </c>
      <c r="D143" s="41" t="str">
        <f t="shared" si="180"/>
        <v>nm</v>
      </c>
      <c r="E143" s="41">
        <f t="shared" si="180"/>
        <v>0.23015873015873015</v>
      </c>
      <c r="F143" s="41">
        <f t="shared" si="180"/>
        <v>0.25180814617434338</v>
      </c>
      <c r="G143" s="41">
        <f t="shared" si="180"/>
        <v>0.2354813046937152</v>
      </c>
      <c r="H143" s="41">
        <f t="shared" si="180"/>
        <v>0.28635597978663674</v>
      </c>
      <c r="I143" s="41">
        <f t="shared" si="180"/>
        <v>0.31838790931989924</v>
      </c>
      <c r="J143" s="41">
        <f t="shared" ref="J143:N143" si="181">+IFERROR(J141/J$21,"nm")</f>
        <v>0.10330736119435514</v>
      </c>
      <c r="K143" s="41">
        <f t="shared" si="181"/>
        <v>0.10330736119435514</v>
      </c>
      <c r="L143" s="41">
        <f t="shared" si="181"/>
        <v>0.10330736119435514</v>
      </c>
      <c r="M143" s="41">
        <f t="shared" si="181"/>
        <v>0.10330736119435514</v>
      </c>
      <c r="N143" s="41">
        <f t="shared" si="181"/>
        <v>0.10330736119435514</v>
      </c>
    </row>
    <row r="144" spans="1:14" x14ac:dyDescent="0.3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82">+K118*K146</f>
        <v>56</v>
      </c>
      <c r="L144" s="42">
        <f t="shared" si="182"/>
        <v>56</v>
      </c>
      <c r="M144" s="42">
        <f t="shared" si="182"/>
        <v>56</v>
      </c>
      <c r="N144" s="42">
        <f t="shared" si="182"/>
        <v>56</v>
      </c>
    </row>
    <row r="145" spans="1:14" x14ac:dyDescent="0.3">
      <c r="A145" s="40" t="s">
        <v>128</v>
      </c>
      <c r="B145" s="41" t="str">
        <f t="shared" ref="B145:N145" si="183">+IFERROR(B144/A144-1,"nm")</f>
        <v>nm</v>
      </c>
      <c r="C145" s="41" t="str">
        <f t="shared" si="183"/>
        <v>nm</v>
      </c>
      <c r="D145" s="41">
        <f t="shared" si="183"/>
        <v>-4.8387096774193505E-2</v>
      </c>
      <c r="E145" s="41">
        <f t="shared" si="183"/>
        <v>-0.16949152542372881</v>
      </c>
      <c r="F145" s="41">
        <f t="shared" si="183"/>
        <v>-4.081632653061229E-2</v>
      </c>
      <c r="G145" s="41">
        <f t="shared" si="183"/>
        <v>-0.12765957446808507</v>
      </c>
      <c r="H145" s="41">
        <f t="shared" si="183"/>
        <v>0.31707317073170738</v>
      </c>
      <c r="I145" s="41">
        <f t="shared" si="183"/>
        <v>3.7037037037036979E-2</v>
      </c>
      <c r="J145" s="41">
        <f t="shared" si="183"/>
        <v>0</v>
      </c>
      <c r="K145" s="41">
        <f t="shared" si="183"/>
        <v>0</v>
      </c>
      <c r="L145" s="41">
        <f t="shared" si="183"/>
        <v>0</v>
      </c>
      <c r="M145" s="41">
        <f t="shared" si="183"/>
        <v>0</v>
      </c>
      <c r="N145" s="41">
        <f t="shared" si="183"/>
        <v>0</v>
      </c>
    </row>
    <row r="146" spans="1:14" x14ac:dyDescent="0.3">
      <c r="A146" s="40" t="s">
        <v>132</v>
      </c>
      <c r="B146" s="41" t="str">
        <f t="shared" ref="B146:I146" si="184">+IFERROR(B144/B$118,"nm")</f>
        <v>nm</v>
      </c>
      <c r="C146" s="41" t="str">
        <f t="shared" si="184"/>
        <v>nm</v>
      </c>
      <c r="D146" s="41" t="str">
        <f t="shared" si="184"/>
        <v>nm</v>
      </c>
      <c r="E146" s="41">
        <f t="shared" si="184"/>
        <v>9.485094850948509E-3</v>
      </c>
      <c r="F146" s="41">
        <f t="shared" si="184"/>
        <v>8.9455652835934533E-3</v>
      </c>
      <c r="G146" s="41">
        <f t="shared" si="184"/>
        <v>8.1543357199681775E-3</v>
      </c>
      <c r="H146" s="41">
        <f t="shared" si="184"/>
        <v>1.0106681639528355E-2</v>
      </c>
      <c r="I146" s="41">
        <f t="shared" si="184"/>
        <v>9.4038623005877411E-3</v>
      </c>
      <c r="J146" s="43">
        <f>+I146</f>
        <v>9.4038623005877411E-3</v>
      </c>
      <c r="K146" s="43">
        <f t="shared" ref="K146:N146" si="185">+J146</f>
        <v>9.4038623005877411E-3</v>
      </c>
      <c r="L146" s="43">
        <f t="shared" si="185"/>
        <v>9.4038623005877411E-3</v>
      </c>
      <c r="M146" s="43">
        <f t="shared" si="185"/>
        <v>9.4038623005877411E-3</v>
      </c>
      <c r="N146" s="43">
        <f t="shared" si="185"/>
        <v>9.4038623005877411E-3</v>
      </c>
    </row>
    <row r="147" spans="1:14" x14ac:dyDescent="0.3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86">+K118*K149</f>
        <v>274</v>
      </c>
      <c r="L147" s="42">
        <f t="shared" si="186"/>
        <v>274</v>
      </c>
      <c r="M147" s="42">
        <f t="shared" si="186"/>
        <v>274</v>
      </c>
      <c r="N147" s="42">
        <f t="shared" si="186"/>
        <v>274</v>
      </c>
    </row>
    <row r="148" spans="1:14" x14ac:dyDescent="0.3">
      <c r="A148" s="40" t="s">
        <v>128</v>
      </c>
      <c r="B148" s="41" t="str">
        <f t="shared" ref="B148:H148" si="187">+IFERROR(B147/A147-1,"nm")</f>
        <v>nm</v>
      </c>
      <c r="C148" s="41" t="str">
        <f t="shared" si="187"/>
        <v>nm</v>
      </c>
      <c r="D148" s="41" t="str">
        <f t="shared" si="187"/>
        <v>nm</v>
      </c>
      <c r="E148" s="41">
        <f t="shared" si="187"/>
        <v>-2.9411764705882248E-3</v>
      </c>
      <c r="F148" s="41">
        <f t="shared" si="187"/>
        <v>-3.8348082595870192E-2</v>
      </c>
      <c r="G148" s="41">
        <f t="shared" si="187"/>
        <v>-9.2024539877300637E-2</v>
      </c>
      <c r="H148" s="41">
        <f t="shared" si="187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88">+K149+K150</f>
        <v>4.6011754827875735E-2</v>
      </c>
      <c r="L148" s="41">
        <f t="shared" si="188"/>
        <v>4.6011754827875735E-2</v>
      </c>
      <c r="M148" s="41">
        <f t="shared" si="188"/>
        <v>4.6011754827875735E-2</v>
      </c>
      <c r="N148" s="41">
        <f t="shared" si="188"/>
        <v>4.6011754827875735E-2</v>
      </c>
    </row>
    <row r="149" spans="1:14" x14ac:dyDescent="0.3">
      <c r="A149" s="40" t="s">
        <v>132</v>
      </c>
      <c r="B149" s="41" t="str">
        <f t="shared" ref="B149:H149" si="189">+IFERROR(B147/B$118,"nm")</f>
        <v>nm</v>
      </c>
      <c r="C149" s="41" t="str">
        <f t="shared" si="189"/>
        <v>nm</v>
      </c>
      <c r="D149" s="41" t="str">
        <f t="shared" si="189"/>
        <v>nm</v>
      </c>
      <c r="E149" s="41">
        <f t="shared" si="189"/>
        <v>6.5621370499419282E-2</v>
      </c>
      <c r="F149" s="41">
        <f t="shared" si="189"/>
        <v>6.2047963456414161E-2</v>
      </c>
      <c r="G149" s="41">
        <f t="shared" si="189"/>
        <v>5.88703261734288E-2</v>
      </c>
      <c r="H149" s="41">
        <f t="shared" si="189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0">+J149</f>
        <v>4.6011754827875735E-2</v>
      </c>
      <c r="L149" s="43">
        <f t="shared" si="190"/>
        <v>4.6011754827875735E-2</v>
      </c>
      <c r="M149" s="43">
        <f t="shared" si="190"/>
        <v>4.6011754827875735E-2</v>
      </c>
      <c r="N149" s="43">
        <f t="shared" si="190"/>
        <v>4.6011754827875735E-2</v>
      </c>
    </row>
    <row r="150" spans="1:14" x14ac:dyDescent="0.3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1">J151</f>
        <v>102</v>
      </c>
      <c r="L151" s="9">
        <f t="shared" si="191"/>
        <v>102</v>
      </c>
      <c r="M151" s="9">
        <f t="shared" si="191"/>
        <v>102</v>
      </c>
      <c r="N151" s="9">
        <f t="shared" si="191"/>
        <v>102</v>
      </c>
    </row>
    <row r="152" spans="1:14" x14ac:dyDescent="0.3">
      <c r="A152" s="38" t="s">
        <v>128</v>
      </c>
      <c r="B152" s="41" t="str">
        <f t="shared" ref="B152:I152" si="192">+IFERROR(B151/A151-1,"nm")</f>
        <v>nm</v>
      </c>
      <c r="C152" s="41">
        <f t="shared" si="192"/>
        <v>-0.36521739130434783</v>
      </c>
      <c r="D152" s="41">
        <f t="shared" si="192"/>
        <v>0</v>
      </c>
      <c r="E152" s="41">
        <f t="shared" si="192"/>
        <v>0.20547945205479445</v>
      </c>
      <c r="F152" s="41">
        <f t="shared" si="192"/>
        <v>-0.52272727272727271</v>
      </c>
      <c r="G152" s="41">
        <f t="shared" si="192"/>
        <v>-0.2857142857142857</v>
      </c>
      <c r="H152" s="41">
        <f t="shared" si="192"/>
        <v>-0.16666666666666663</v>
      </c>
      <c r="I152" s="41">
        <f t="shared" si="192"/>
        <v>3.08</v>
      </c>
      <c r="J152" s="41">
        <f>+IFERROR(J151/I151-1,"nm")</f>
        <v>0</v>
      </c>
      <c r="K152" s="41">
        <f t="shared" ref="K152:N152" si="193">+IFERROR(K151/J151-1,"nm")</f>
        <v>0</v>
      </c>
      <c r="L152" s="41">
        <f t="shared" si="193"/>
        <v>0</v>
      </c>
      <c r="M152" s="41">
        <f t="shared" si="193"/>
        <v>0</v>
      </c>
      <c r="N152" s="41">
        <f t="shared" si="193"/>
        <v>0</v>
      </c>
    </row>
    <row r="153" spans="1:14" x14ac:dyDescent="0.3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">
      <c r="A154" s="38" t="s">
        <v>137</v>
      </c>
      <c r="B154" s="41" t="str">
        <f t="shared" ref="B154:H154" si="194">+IFERROR(B152-B153,"nm")</f>
        <v>nm</v>
      </c>
      <c r="C154" s="41">
        <f t="shared" si="194"/>
        <v>-0.36521739130434783</v>
      </c>
      <c r="D154" s="41">
        <f t="shared" si="194"/>
        <v>0</v>
      </c>
      <c r="E154" s="41">
        <f t="shared" si="194"/>
        <v>0.20547945205479445</v>
      </c>
      <c r="F154" s="41">
        <f t="shared" si="194"/>
        <v>-0.52272727272727271</v>
      </c>
      <c r="G154" s="41">
        <f t="shared" si="194"/>
        <v>-0.2857142857142857</v>
      </c>
      <c r="H154" s="41">
        <f t="shared" si="194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">
      <c r="A155" s="9" t="s">
        <v>129</v>
      </c>
      <c r="B155" s="9">
        <f t="shared" ref="B155:I155" si="195">+B158+B162</f>
        <v>-2057</v>
      </c>
      <c r="C155" s="9">
        <f t="shared" si="195"/>
        <v>-2366</v>
      </c>
      <c r="D155" s="9">
        <f t="shared" si="195"/>
        <v>-2444</v>
      </c>
      <c r="E155" s="9">
        <f t="shared" si="195"/>
        <v>-2441</v>
      </c>
      <c r="F155" s="9">
        <f t="shared" si="195"/>
        <v>-3067</v>
      </c>
      <c r="G155" s="9">
        <f t="shared" si="195"/>
        <v>-3254</v>
      </c>
      <c r="H155" s="9">
        <f t="shared" si="195"/>
        <v>-3434</v>
      </c>
      <c r="I155" s="9">
        <f t="shared" si="195"/>
        <v>-4042</v>
      </c>
      <c r="J155" s="42">
        <f>+J151*J157</f>
        <v>-4042</v>
      </c>
      <c r="K155" s="42">
        <f t="shared" ref="K155:N155" si="196">+K151*K157</f>
        <v>-4042</v>
      </c>
      <c r="L155" s="42">
        <f t="shared" si="196"/>
        <v>-4042</v>
      </c>
      <c r="M155" s="42">
        <f t="shared" si="196"/>
        <v>-4042</v>
      </c>
      <c r="N155" s="42">
        <f t="shared" si="196"/>
        <v>-4042</v>
      </c>
    </row>
    <row r="156" spans="1:14" x14ac:dyDescent="0.3">
      <c r="A156" s="40" t="s">
        <v>128</v>
      </c>
      <c r="B156" s="41" t="str">
        <f t="shared" ref="B156:N156" si="197">+IFERROR(B155/A155-1,"nm")</f>
        <v>nm</v>
      </c>
      <c r="C156" s="41">
        <f t="shared" si="197"/>
        <v>0.15021876519202726</v>
      </c>
      <c r="D156" s="41">
        <f t="shared" si="197"/>
        <v>3.2967032967033072E-2</v>
      </c>
      <c r="E156" s="41">
        <f t="shared" si="197"/>
        <v>-1.2274959083469206E-3</v>
      </c>
      <c r="F156" s="41">
        <f t="shared" si="197"/>
        <v>0.25645227365833678</v>
      </c>
      <c r="G156" s="41">
        <f t="shared" si="197"/>
        <v>6.0971633518095869E-2</v>
      </c>
      <c r="H156" s="41">
        <f t="shared" si="197"/>
        <v>5.5316533497234088E-2</v>
      </c>
      <c r="I156" s="41">
        <f t="shared" si="197"/>
        <v>0.1770529994175889</v>
      </c>
      <c r="J156" s="41">
        <f t="shared" si="197"/>
        <v>0</v>
      </c>
      <c r="K156" s="41">
        <f t="shared" si="197"/>
        <v>0</v>
      </c>
      <c r="L156" s="41">
        <f t="shared" si="197"/>
        <v>0</v>
      </c>
      <c r="M156" s="41">
        <f t="shared" si="197"/>
        <v>0</v>
      </c>
      <c r="N156" s="41">
        <f t="shared" si="197"/>
        <v>0</v>
      </c>
    </row>
    <row r="157" spans="1:14" x14ac:dyDescent="0.3">
      <c r="A157" s="40" t="s">
        <v>130</v>
      </c>
      <c r="B157" s="41">
        <f t="shared" ref="B157:H157" si="198">+IFERROR(B155/B$151,"nm")</f>
        <v>-17.88695652173913</v>
      </c>
      <c r="C157" s="41">
        <f t="shared" si="198"/>
        <v>-32.410958904109592</v>
      </c>
      <c r="D157" s="41">
        <f t="shared" si="198"/>
        <v>-33.479452054794521</v>
      </c>
      <c r="E157" s="41">
        <f t="shared" si="198"/>
        <v>-27.738636363636363</v>
      </c>
      <c r="F157" s="41">
        <f t="shared" si="198"/>
        <v>-73.023809523809518</v>
      </c>
      <c r="G157" s="41">
        <f t="shared" si="198"/>
        <v>-108.46666666666667</v>
      </c>
      <c r="H157" s="41">
        <f t="shared" si="198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199">+J157</f>
        <v>-39.627450980392155</v>
      </c>
      <c r="L157" s="43">
        <f t="shared" si="199"/>
        <v>-39.627450980392155</v>
      </c>
      <c r="M157" s="43">
        <f t="shared" si="199"/>
        <v>-39.627450980392155</v>
      </c>
      <c r="N157" s="43">
        <f t="shared" si="199"/>
        <v>-39.627450980392155</v>
      </c>
    </row>
    <row r="158" spans="1:14" x14ac:dyDescent="0.3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0">K168*K161</f>
        <v>219.99999999999997</v>
      </c>
      <c r="L158" s="9">
        <f t="shared" si="200"/>
        <v>219.99999999999997</v>
      </c>
      <c r="M158" s="9">
        <f t="shared" si="200"/>
        <v>219.99999999999997</v>
      </c>
      <c r="N158" s="9">
        <f t="shared" si="200"/>
        <v>219.99999999999997</v>
      </c>
    </row>
    <row r="159" spans="1:14" x14ac:dyDescent="0.3">
      <c r="A159" s="40" t="s">
        <v>128</v>
      </c>
      <c r="B159" s="41" t="str">
        <f t="shared" ref="B159:N159" si="201">+IFERROR(B158/A158-1,"nm")</f>
        <v>nm</v>
      </c>
      <c r="C159" s="41">
        <f t="shared" si="201"/>
        <v>9.5238095238095344E-2</v>
      </c>
      <c r="D159" s="41">
        <f t="shared" si="201"/>
        <v>1.304347826086949E-2</v>
      </c>
      <c r="E159" s="41">
        <f t="shared" si="201"/>
        <v>-6.8669527896995763E-2</v>
      </c>
      <c r="F159" s="41">
        <f t="shared" si="201"/>
        <v>-0.10138248847926268</v>
      </c>
      <c r="G159" s="41">
        <f t="shared" si="201"/>
        <v>9.7435897435897534E-2</v>
      </c>
      <c r="H159" s="41">
        <f t="shared" si="201"/>
        <v>3.7383177570093462E-2</v>
      </c>
      <c r="I159" s="41">
        <f t="shared" si="201"/>
        <v>-9.009009009009028E-3</v>
      </c>
      <c r="J159" s="41">
        <f t="shared" si="201"/>
        <v>-1.1102230246251565E-16</v>
      </c>
      <c r="K159" s="41">
        <f t="shared" si="201"/>
        <v>0</v>
      </c>
      <c r="L159" s="41">
        <f t="shared" si="201"/>
        <v>0</v>
      </c>
      <c r="M159" s="41">
        <f t="shared" si="201"/>
        <v>0</v>
      </c>
      <c r="N159" s="41">
        <f t="shared" si="201"/>
        <v>0</v>
      </c>
    </row>
    <row r="160" spans="1:14" x14ac:dyDescent="0.3">
      <c r="A160" s="40" t="s">
        <v>132</v>
      </c>
      <c r="B160" s="41">
        <f t="shared" ref="B160:H160" si="202">+IFERROR(B158/B$151,"nm")</f>
        <v>1.826086956521739</v>
      </c>
      <c r="C160" s="41">
        <f t="shared" si="202"/>
        <v>3.1506849315068495</v>
      </c>
      <c r="D160" s="41">
        <f t="shared" si="202"/>
        <v>3.1917808219178081</v>
      </c>
      <c r="E160" s="41">
        <f t="shared" si="202"/>
        <v>2.4659090909090908</v>
      </c>
      <c r="F160" s="41">
        <f t="shared" si="202"/>
        <v>4.6428571428571432</v>
      </c>
      <c r="G160" s="41">
        <f t="shared" si="202"/>
        <v>7.1333333333333337</v>
      </c>
      <c r="H160" s="41">
        <f t="shared" si="202"/>
        <v>8.8800000000000008</v>
      </c>
      <c r="I160" s="41">
        <f>+IFERROR(I158/I$151,"nm")</f>
        <v>2.1568627450980391</v>
      </c>
      <c r="J160" s="41">
        <f t="shared" ref="J160:N160" si="203">+IFERROR(J158/J$151,"nm")</f>
        <v>2.1568627450980391</v>
      </c>
      <c r="K160" s="41">
        <f t="shared" si="203"/>
        <v>2.1568627450980391</v>
      </c>
      <c r="L160" s="41">
        <f t="shared" si="203"/>
        <v>2.1568627450980391</v>
      </c>
      <c r="M160" s="41">
        <f t="shared" si="203"/>
        <v>2.1568627450980391</v>
      </c>
      <c r="N160" s="41">
        <f t="shared" si="203"/>
        <v>2.1568627450980391</v>
      </c>
    </row>
    <row r="161" spans="1:14" x14ac:dyDescent="0.3">
      <c r="A161" s="40" t="s">
        <v>139</v>
      </c>
      <c r="B161" s="41">
        <f t="shared" ref="B161:I161" si="204">+IFERROR(B158/B168,"nm")</f>
        <v>0.43388429752066116</v>
      </c>
      <c r="C161" s="41">
        <f t="shared" si="204"/>
        <v>0.45009784735812131</v>
      </c>
      <c r="D161" s="41">
        <f t="shared" si="204"/>
        <v>0.43714821763602252</v>
      </c>
      <c r="E161" s="41">
        <f t="shared" si="204"/>
        <v>0.36348408710217756</v>
      </c>
      <c r="F161" s="41">
        <f t="shared" si="204"/>
        <v>0.2932330827067669</v>
      </c>
      <c r="G161" s="41">
        <f t="shared" si="204"/>
        <v>0.25783132530120484</v>
      </c>
      <c r="H161" s="41">
        <f t="shared" si="204"/>
        <v>0.2846153846153846</v>
      </c>
      <c r="I161" s="41">
        <f t="shared" si="204"/>
        <v>0.27883396704689478</v>
      </c>
      <c r="J161" s="43">
        <f>+I161</f>
        <v>0.27883396704689478</v>
      </c>
      <c r="K161" s="43">
        <f t="shared" ref="K161:N161" si="205">+J161</f>
        <v>0.27883396704689478</v>
      </c>
      <c r="L161" s="43">
        <f t="shared" si="205"/>
        <v>0.27883396704689478</v>
      </c>
      <c r="M161" s="43">
        <f t="shared" si="205"/>
        <v>0.27883396704689478</v>
      </c>
      <c r="N161" s="43">
        <f t="shared" si="205"/>
        <v>0.27883396704689478</v>
      </c>
    </row>
    <row r="162" spans="1:14" x14ac:dyDescent="0.3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06">K155-K158</f>
        <v>-4262</v>
      </c>
      <c r="L162" s="3">
        <f t="shared" si="206"/>
        <v>-4262</v>
      </c>
      <c r="M162" s="3">
        <f t="shared" si="206"/>
        <v>-4262</v>
      </c>
      <c r="N162" s="3">
        <f t="shared" si="206"/>
        <v>-4262</v>
      </c>
    </row>
    <row r="163" spans="1:14" x14ac:dyDescent="0.3">
      <c r="A163" s="40" t="s">
        <v>128</v>
      </c>
      <c r="B163" s="41" t="str">
        <f t="shared" ref="B163:N163" si="207">+IFERROR(B162/A162-1,"nm")</f>
        <v>nm</v>
      </c>
      <c r="C163" s="41">
        <f t="shared" si="207"/>
        <v>0.145125716806352</v>
      </c>
      <c r="D163" s="41">
        <f t="shared" si="207"/>
        <v>3.1201848998459125E-2</v>
      </c>
      <c r="E163" s="41">
        <f t="shared" si="207"/>
        <v>-7.097497198356395E-3</v>
      </c>
      <c r="F163" s="41">
        <f t="shared" si="207"/>
        <v>0.22723852520692245</v>
      </c>
      <c r="G163" s="41">
        <f t="shared" si="207"/>
        <v>6.3151440833844275E-2</v>
      </c>
      <c r="H163" s="41">
        <f t="shared" si="207"/>
        <v>5.4209919261822392E-2</v>
      </c>
      <c r="I163" s="41">
        <f t="shared" si="207"/>
        <v>0.16575492341356668</v>
      </c>
      <c r="J163" s="41">
        <f t="shared" si="207"/>
        <v>0</v>
      </c>
      <c r="K163" s="41">
        <f t="shared" si="207"/>
        <v>0</v>
      </c>
      <c r="L163" s="41">
        <f t="shared" si="207"/>
        <v>0</v>
      </c>
      <c r="M163" s="41">
        <f t="shared" si="207"/>
        <v>0</v>
      </c>
      <c r="N163" s="41">
        <f t="shared" si="207"/>
        <v>0</v>
      </c>
    </row>
    <row r="164" spans="1:14" x14ac:dyDescent="0.3">
      <c r="A164" s="40" t="s">
        <v>130</v>
      </c>
      <c r="B164" s="41">
        <f t="shared" ref="B164:H164" si="208">+IFERROR(B162/B$151,"nm")</f>
        <v>-19.713043478260868</v>
      </c>
      <c r="C164" s="41">
        <f t="shared" si="208"/>
        <v>-35.561643835616437</v>
      </c>
      <c r="D164" s="41">
        <f t="shared" si="208"/>
        <v>-36.671232876712331</v>
      </c>
      <c r="E164" s="41">
        <f t="shared" si="208"/>
        <v>-30.204545454545453</v>
      </c>
      <c r="F164" s="41">
        <f t="shared" si="208"/>
        <v>-77.666666666666671</v>
      </c>
      <c r="G164" s="41">
        <f t="shared" si="208"/>
        <v>-115.6</v>
      </c>
      <c r="H164" s="41">
        <f t="shared" si="208"/>
        <v>-146.24</v>
      </c>
      <c r="I164" s="41">
        <f>+IFERROR(I162/I$151,"nm")</f>
        <v>-41.784313725490193</v>
      </c>
      <c r="J164" s="41">
        <f t="shared" ref="J164:N164" si="209">+IFERROR(J162/J$21,"nm")</f>
        <v>-0.2322236146679017</v>
      </c>
      <c r="K164" s="41">
        <f t="shared" si="209"/>
        <v>-0.2322236146679017</v>
      </c>
      <c r="L164" s="41">
        <f t="shared" si="209"/>
        <v>-0.2322236146679017</v>
      </c>
      <c r="M164" s="41">
        <f t="shared" si="209"/>
        <v>-0.2322236146679017</v>
      </c>
      <c r="N164" s="41">
        <f t="shared" si="209"/>
        <v>-0.2322236146679017</v>
      </c>
    </row>
    <row r="165" spans="1:14" x14ac:dyDescent="0.3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0">K151*K167</f>
        <v>221.99999999999997</v>
      </c>
      <c r="L165" s="9">
        <f t="shared" si="210"/>
        <v>221.99999999999997</v>
      </c>
      <c r="M165" s="9">
        <f t="shared" si="210"/>
        <v>221.99999999999997</v>
      </c>
      <c r="N165" s="9">
        <f t="shared" si="210"/>
        <v>221.99999999999997</v>
      </c>
    </row>
    <row r="166" spans="1:14" x14ac:dyDescent="0.3">
      <c r="A166" s="40" t="s">
        <v>128</v>
      </c>
      <c r="B166" s="41" t="str">
        <f t="shared" ref="B166:N166" si="211">+IFERROR(B165/A165-1,"nm")</f>
        <v>nm</v>
      </c>
      <c r="C166" s="41">
        <f t="shared" si="211"/>
        <v>0.14666666666666672</v>
      </c>
      <c r="D166" s="41">
        <f t="shared" si="211"/>
        <v>7.7519379844961156E-2</v>
      </c>
      <c r="E166" s="41">
        <f t="shared" si="211"/>
        <v>2.877697841726623E-2</v>
      </c>
      <c r="F166" s="41">
        <f t="shared" si="211"/>
        <v>-2.7972027972028024E-2</v>
      </c>
      <c r="G166" s="41">
        <f t="shared" si="211"/>
        <v>0.57553956834532372</v>
      </c>
      <c r="H166" s="41">
        <f t="shared" si="211"/>
        <v>-0.36529680365296802</v>
      </c>
      <c r="I166" s="41">
        <f t="shared" si="211"/>
        <v>-0.20143884892086328</v>
      </c>
      <c r="J166" s="41">
        <f t="shared" si="211"/>
        <v>-1.1102230246251565E-16</v>
      </c>
      <c r="K166" s="41">
        <f t="shared" si="211"/>
        <v>0</v>
      </c>
      <c r="L166" s="41">
        <f t="shared" si="211"/>
        <v>0</v>
      </c>
      <c r="M166" s="41">
        <f t="shared" si="211"/>
        <v>0</v>
      </c>
      <c r="N166" s="41">
        <f t="shared" si="211"/>
        <v>0</v>
      </c>
    </row>
    <row r="167" spans="1:14" x14ac:dyDescent="0.3">
      <c r="A167" s="40" t="s">
        <v>132</v>
      </c>
      <c r="B167" s="41">
        <f t="shared" ref="B167:H167" si="212">+IFERROR(B165/B$151,"nm")</f>
        <v>1.9565217391304348</v>
      </c>
      <c r="C167" s="41">
        <f t="shared" si="212"/>
        <v>3.5342465753424657</v>
      </c>
      <c r="D167" s="41">
        <f t="shared" si="212"/>
        <v>3.8082191780821919</v>
      </c>
      <c r="E167" s="41">
        <f t="shared" si="212"/>
        <v>3.25</v>
      </c>
      <c r="F167" s="41">
        <f t="shared" si="212"/>
        <v>6.6190476190476186</v>
      </c>
      <c r="G167" s="41">
        <f t="shared" si="212"/>
        <v>14.6</v>
      </c>
      <c r="H167" s="41">
        <f t="shared" si="212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13">+J167</f>
        <v>2.1764705882352939</v>
      </c>
      <c r="L167" s="43">
        <f t="shared" si="213"/>
        <v>2.1764705882352939</v>
      </c>
      <c r="M167" s="43">
        <f t="shared" si="213"/>
        <v>2.1764705882352939</v>
      </c>
      <c r="N167" s="43">
        <f t="shared" si="213"/>
        <v>2.1764705882352939</v>
      </c>
    </row>
    <row r="168" spans="1:14" x14ac:dyDescent="0.3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14">+K151*K170</f>
        <v>789</v>
      </c>
      <c r="L168" s="42">
        <f t="shared" si="214"/>
        <v>789</v>
      </c>
      <c r="M168" s="42">
        <f t="shared" si="214"/>
        <v>789</v>
      </c>
      <c r="N168" s="42">
        <f t="shared" si="214"/>
        <v>789</v>
      </c>
    </row>
    <row r="169" spans="1:14" x14ac:dyDescent="0.3">
      <c r="A169" s="40" t="s">
        <v>128</v>
      </c>
      <c r="B169" s="41" t="str">
        <f t="shared" ref="B169:H169" si="215">+IFERROR(B168/A168-1,"nm")</f>
        <v>nm</v>
      </c>
      <c r="C169" s="41">
        <f t="shared" si="215"/>
        <v>5.5785123966942241E-2</v>
      </c>
      <c r="D169" s="41">
        <f t="shared" si="215"/>
        <v>4.3052837573385627E-2</v>
      </c>
      <c r="E169" s="41">
        <f t="shared" si="215"/>
        <v>0.12007504690431525</v>
      </c>
      <c r="F169" s="41">
        <f t="shared" si="215"/>
        <v>0.11390284757118918</v>
      </c>
      <c r="G169" s="41">
        <f t="shared" si="215"/>
        <v>0.24812030075187974</v>
      </c>
      <c r="H169" s="41">
        <f t="shared" si="215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16">+K170+K171</f>
        <v>7.7352941176470589</v>
      </c>
      <c r="L169" s="41">
        <f t="shared" si="216"/>
        <v>7.7352941176470589</v>
      </c>
      <c r="M169" s="41">
        <f t="shared" si="216"/>
        <v>7.7352941176470589</v>
      </c>
      <c r="N169" s="41">
        <f t="shared" si="216"/>
        <v>7.7352941176470589</v>
      </c>
    </row>
    <row r="170" spans="1:14" x14ac:dyDescent="0.3">
      <c r="A170" s="40" t="s">
        <v>132</v>
      </c>
      <c r="B170" s="41">
        <f t="shared" ref="B170:H170" si="217">+IFERROR(B168/B$151,"nm")</f>
        <v>4.2086956521739127</v>
      </c>
      <c r="C170" s="41">
        <f t="shared" si="217"/>
        <v>7</v>
      </c>
      <c r="D170" s="41">
        <f t="shared" si="217"/>
        <v>7.3013698630136989</v>
      </c>
      <c r="E170" s="41">
        <f t="shared" si="217"/>
        <v>6.7840909090909092</v>
      </c>
      <c r="F170" s="41">
        <f t="shared" si="217"/>
        <v>15.833333333333334</v>
      </c>
      <c r="G170" s="41">
        <f t="shared" si="217"/>
        <v>27.666666666666668</v>
      </c>
      <c r="H170" s="41">
        <f t="shared" si="217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18">+J170</f>
        <v>7.7352941176470589</v>
      </c>
      <c r="L170" s="43">
        <f t="shared" si="218"/>
        <v>7.7352941176470589</v>
      </c>
      <c r="M170" s="43">
        <f t="shared" si="218"/>
        <v>7.7352941176470589</v>
      </c>
      <c r="N170" s="43">
        <f t="shared" si="218"/>
        <v>7.7352941176470589</v>
      </c>
    </row>
    <row r="171" spans="1:14" x14ac:dyDescent="0.3">
      <c r="A171" s="70" t="s">
        <v>208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  <row r="178" spans="1:14" x14ac:dyDescent="0.3">
      <c r="A178" s="70" t="s">
        <v>103</v>
      </c>
      <c r="B178" s="37"/>
      <c r="C178" s="37"/>
      <c r="D178" s="37"/>
      <c r="E178" s="37"/>
      <c r="F178" s="37"/>
      <c r="G178" s="37"/>
      <c r="H178" s="37"/>
      <c r="I178" s="37"/>
      <c r="J178" s="33"/>
      <c r="K178" s="33"/>
      <c r="L178" s="33"/>
      <c r="M178" s="33"/>
      <c r="N178" s="33"/>
    </row>
    <row r="179" spans="1:14" x14ac:dyDescent="0.3">
      <c r="A179" s="9" t="s">
        <v>135</v>
      </c>
      <c r="B179" s="9">
        <f>Historicals!B143</f>
        <v>1982</v>
      </c>
      <c r="C179" s="9">
        <f>Historicals!C143</f>
        <v>1955</v>
      </c>
      <c r="D179" s="9">
        <f>Historicals!D143</f>
        <v>2042</v>
      </c>
      <c r="E179" s="9">
        <f>Historicals!E143</f>
        <v>1886</v>
      </c>
      <c r="F179" s="9">
        <f>Historicals!F143</f>
        <v>1906</v>
      </c>
      <c r="G179" s="9">
        <f>Historicals!G143</f>
        <v>1846</v>
      </c>
      <c r="H179" s="9">
        <f>Historicals!H143</f>
        <v>2205</v>
      </c>
      <c r="I179" s="9">
        <f>Historicals!I143</f>
        <v>2346</v>
      </c>
      <c r="J179" s="9">
        <f>I179</f>
        <v>2346</v>
      </c>
      <c r="K179" s="9">
        <f t="shared" ref="K179" si="219">J179</f>
        <v>2346</v>
      </c>
      <c r="L179" s="9">
        <f t="shared" ref="L179" si="220">K179</f>
        <v>2346</v>
      </c>
      <c r="M179" s="9">
        <f t="shared" ref="M179" si="221">L179</f>
        <v>2346</v>
      </c>
      <c r="N179" s="9">
        <f t="shared" ref="N179" si="222">M179</f>
        <v>2346</v>
      </c>
    </row>
    <row r="180" spans="1:14" x14ac:dyDescent="0.3">
      <c r="A180" s="38" t="s">
        <v>128</v>
      </c>
      <c r="B180" s="41" t="str">
        <f t="shared" ref="B180" si="223">+IFERROR(B179/A179-1,"nm")</f>
        <v>nm</v>
      </c>
      <c r="C180" s="41">
        <f t="shared" ref="C180" si="224">+IFERROR(C179/B179-1,"nm")</f>
        <v>-1.3622603430877955E-2</v>
      </c>
      <c r="D180" s="41">
        <f t="shared" ref="D180" si="225">+IFERROR(D179/C179-1,"nm")</f>
        <v>4.4501278772378416E-2</v>
      </c>
      <c r="E180" s="41">
        <f t="shared" ref="E180" si="226">+IFERROR(E179/D179-1,"nm")</f>
        <v>-7.6395690499510338E-2</v>
      </c>
      <c r="F180" s="41">
        <f t="shared" ref="F180" si="227">+IFERROR(F179/E179-1,"nm")</f>
        <v>1.0604453870625585E-2</v>
      </c>
      <c r="G180" s="41">
        <f t="shared" ref="G180" si="228">+IFERROR(G179/F179-1,"nm")</f>
        <v>-3.147953830010497E-2</v>
      </c>
      <c r="H180" s="41">
        <f t="shared" ref="H180" si="229">+IFERROR(H179/G179-1,"nm")</f>
        <v>0.19447453954496208</v>
      </c>
      <c r="I180" s="41">
        <f t="shared" ref="I180" si="230">+IFERROR(I179/H179-1,"nm")</f>
        <v>6.3945578231292544E-2</v>
      </c>
      <c r="J180" s="41">
        <f>+IFERROR(J179/I179-1,"nm")</f>
        <v>0</v>
      </c>
      <c r="K180" s="41">
        <f t="shared" ref="K180" si="231">+IFERROR(K179/J179-1,"nm")</f>
        <v>0</v>
      </c>
      <c r="L180" s="41">
        <f t="shared" ref="L180" si="232">+IFERROR(L179/K179-1,"nm")</f>
        <v>0</v>
      </c>
      <c r="M180" s="41">
        <f t="shared" ref="M180" si="233">+IFERROR(M179/L179-1,"nm")</f>
        <v>0</v>
      </c>
      <c r="N180" s="41">
        <f t="shared" ref="N180" si="234">+IFERROR(N179/M179-1,"nm")</f>
        <v>0</v>
      </c>
    </row>
    <row r="181" spans="1:14" x14ac:dyDescent="0.3">
      <c r="A181" s="9" t="s">
        <v>129</v>
      </c>
      <c r="B181" s="9">
        <f>B188+B184</f>
        <v>535</v>
      </c>
      <c r="C181" s="9">
        <f t="shared" ref="C181:I181" si="235">C188+C184</f>
        <v>514</v>
      </c>
      <c r="D181" s="9">
        <f t="shared" si="235"/>
        <v>505</v>
      </c>
      <c r="E181" s="9">
        <f t="shared" si="235"/>
        <v>343</v>
      </c>
      <c r="F181" s="9">
        <f t="shared" si="235"/>
        <v>334</v>
      </c>
      <c r="G181" s="9">
        <f t="shared" si="235"/>
        <v>322</v>
      </c>
      <c r="H181" s="9">
        <f t="shared" si="235"/>
        <v>569</v>
      </c>
      <c r="I181" s="9">
        <f t="shared" si="235"/>
        <v>691</v>
      </c>
      <c r="J181" s="42">
        <f>+J179*J183</f>
        <v>691</v>
      </c>
      <c r="K181" s="42">
        <f>+K179*K183</f>
        <v>691</v>
      </c>
      <c r="L181" s="42">
        <f>+L179*L183</f>
        <v>691</v>
      </c>
      <c r="M181" s="42">
        <f>+M179*M183</f>
        <v>691</v>
      </c>
      <c r="N181" s="42">
        <f>+N179*N183</f>
        <v>691</v>
      </c>
    </row>
    <row r="182" spans="1:14" x14ac:dyDescent="0.3">
      <c r="A182" s="40" t="s">
        <v>128</v>
      </c>
      <c r="B182" s="41" t="str">
        <f t="shared" ref="B182" si="236">+IFERROR(B181/A181-1,"nm")</f>
        <v>nm</v>
      </c>
      <c r="C182" s="41">
        <f t="shared" ref="C182" si="237">+IFERROR(C181/B181-1,"nm")</f>
        <v>-3.9252336448598157E-2</v>
      </c>
      <c r="D182" s="41">
        <f t="shared" ref="D182" si="238">+IFERROR(D181/C181-1,"nm")</f>
        <v>-1.7509727626459193E-2</v>
      </c>
      <c r="E182" s="41">
        <f t="shared" ref="E182" si="239">+IFERROR(E181/D181-1,"nm")</f>
        <v>-0.32079207920792074</v>
      </c>
      <c r="F182" s="41">
        <f t="shared" ref="F182" si="240">+IFERROR(F181/E181-1,"nm")</f>
        <v>-2.6239067055393583E-2</v>
      </c>
      <c r="G182" s="41">
        <f t="shared" ref="G182" si="241">+IFERROR(G181/F181-1,"nm")</f>
        <v>-3.59281437125748E-2</v>
      </c>
      <c r="H182" s="41">
        <f t="shared" ref="H182" si="242">+IFERROR(H181/G181-1,"nm")</f>
        <v>0.76708074534161486</v>
      </c>
      <c r="I182" s="41">
        <f t="shared" ref="I182" si="243">+IFERROR(I181/H181-1,"nm")</f>
        <v>0.21441124780316345</v>
      </c>
      <c r="J182" s="41">
        <f t="shared" ref="J182" si="244">+IFERROR(J181/I181-1,"nm")</f>
        <v>0</v>
      </c>
      <c r="K182" s="41">
        <f t="shared" ref="K182" si="245">+IFERROR(K181/J181-1,"nm")</f>
        <v>0</v>
      </c>
      <c r="L182" s="41">
        <f t="shared" ref="L182" si="246">+IFERROR(L181/K181-1,"nm")</f>
        <v>0</v>
      </c>
      <c r="M182" s="41">
        <f t="shared" ref="M182" si="247">+IFERROR(M181/L181-1,"nm")</f>
        <v>0</v>
      </c>
      <c r="N182" s="41">
        <f t="shared" ref="N182" si="248">+IFERROR(N181/M181-1,"nm")</f>
        <v>0</v>
      </c>
    </row>
    <row r="183" spans="1:14" x14ac:dyDescent="0.3">
      <c r="A183" s="40" t="s">
        <v>130</v>
      </c>
      <c r="B183" s="41">
        <f t="shared" ref="B183:H183" si="249">+IFERROR(B181/B$151,"nm")</f>
        <v>4.6521739130434785</v>
      </c>
      <c r="C183" s="41">
        <f t="shared" si="249"/>
        <v>7.0410958904109586</v>
      </c>
      <c r="D183" s="41">
        <f t="shared" si="249"/>
        <v>6.9178082191780819</v>
      </c>
      <c r="E183" s="41">
        <f t="shared" si="249"/>
        <v>3.8977272727272729</v>
      </c>
      <c r="F183" s="41">
        <f t="shared" si="249"/>
        <v>7.9523809523809526</v>
      </c>
      <c r="G183" s="41">
        <f t="shared" si="249"/>
        <v>10.733333333333333</v>
      </c>
      <c r="H183" s="41">
        <f t="shared" si="249"/>
        <v>22.76</v>
      </c>
      <c r="I183" s="41">
        <f>+IFERROR(I181/I$179,"nm")</f>
        <v>0.29454390451832907</v>
      </c>
      <c r="J183" s="43">
        <f>+I183</f>
        <v>0.29454390451832907</v>
      </c>
      <c r="K183" s="43">
        <f t="shared" ref="K183" si="250">+J183</f>
        <v>0.29454390451832907</v>
      </c>
      <c r="L183" s="43">
        <f t="shared" ref="L183" si="251">+K183</f>
        <v>0.29454390451832907</v>
      </c>
      <c r="M183" s="43">
        <f t="shared" ref="M183" si="252">+L183</f>
        <v>0.29454390451832907</v>
      </c>
      <c r="N183" s="43">
        <f t="shared" ref="N183" si="253">+M183</f>
        <v>0.29454390451832907</v>
      </c>
    </row>
    <row r="184" spans="1:14" x14ac:dyDescent="0.3">
      <c r="A184" s="9" t="s">
        <v>131</v>
      </c>
      <c r="B184" s="9">
        <f>Historicals!B198</f>
        <v>18</v>
      </c>
      <c r="C184" s="9">
        <f>Historicals!C198</f>
        <v>27</v>
      </c>
      <c r="D184" s="9">
        <f>Historicals!D198</f>
        <v>28</v>
      </c>
      <c r="E184" s="9">
        <f>Historicals!E198</f>
        <v>33</v>
      </c>
      <c r="F184" s="9">
        <f>Historicals!F198</f>
        <v>31</v>
      </c>
      <c r="G184" s="9">
        <f>Historicals!G198</f>
        <v>25</v>
      </c>
      <c r="H184" s="9">
        <f>Historicals!H198</f>
        <v>26</v>
      </c>
      <c r="I184" s="9">
        <f>Historicals!I198</f>
        <v>22</v>
      </c>
      <c r="J184" s="9">
        <f>J194*J187</f>
        <v>22</v>
      </c>
      <c r="K184" s="9">
        <f t="shared" ref="K184:N184" si="254">K194*K187</f>
        <v>22</v>
      </c>
      <c r="L184" s="9">
        <f t="shared" si="254"/>
        <v>22</v>
      </c>
      <c r="M184" s="9">
        <f t="shared" si="254"/>
        <v>22</v>
      </c>
      <c r="N184" s="9">
        <f t="shared" si="254"/>
        <v>22</v>
      </c>
    </row>
    <row r="185" spans="1:14" x14ac:dyDescent="0.3">
      <c r="A185" s="40" t="s">
        <v>128</v>
      </c>
      <c r="B185" s="41" t="str">
        <f t="shared" ref="B185" si="255">+IFERROR(B184/A184-1,"nm")</f>
        <v>nm</v>
      </c>
      <c r="C185" s="41">
        <f t="shared" ref="C185" si="256">+IFERROR(C184/B184-1,"nm")</f>
        <v>0.5</v>
      </c>
      <c r="D185" s="41">
        <f t="shared" ref="D185" si="257">+IFERROR(D184/C184-1,"nm")</f>
        <v>3.7037037037036979E-2</v>
      </c>
      <c r="E185" s="41">
        <f t="shared" ref="E185" si="258">+IFERROR(E184/D184-1,"nm")</f>
        <v>0.1785714285714286</v>
      </c>
      <c r="F185" s="41">
        <f t="shared" ref="F185" si="259">+IFERROR(F184/E184-1,"nm")</f>
        <v>-6.0606060606060552E-2</v>
      </c>
      <c r="G185" s="41">
        <f t="shared" ref="G185" si="260">+IFERROR(G184/F184-1,"nm")</f>
        <v>-0.19354838709677424</v>
      </c>
      <c r="H185" s="41">
        <f t="shared" ref="H185" si="261">+IFERROR(H184/G184-1,"nm")</f>
        <v>4.0000000000000036E-2</v>
      </c>
      <c r="I185" s="41">
        <f t="shared" ref="I185" si="262">+IFERROR(I184/H184-1,"nm")</f>
        <v>-0.15384615384615385</v>
      </c>
      <c r="J185" s="41">
        <f t="shared" ref="J185" si="263">+IFERROR(J184/I184-1,"nm")</f>
        <v>0</v>
      </c>
      <c r="K185" s="41">
        <f t="shared" ref="K185" si="264">+IFERROR(K184/J184-1,"nm")</f>
        <v>0</v>
      </c>
      <c r="L185" s="41">
        <f t="shared" ref="L185" si="265">+IFERROR(L184/K184-1,"nm")</f>
        <v>0</v>
      </c>
      <c r="M185" s="41">
        <f t="shared" ref="M185" si="266">+IFERROR(M184/L184-1,"nm")</f>
        <v>0</v>
      </c>
      <c r="N185" s="41">
        <f t="shared" ref="N185" si="267">+IFERROR(N184/M184-1,"nm")</f>
        <v>0</v>
      </c>
    </row>
    <row r="186" spans="1:14" x14ac:dyDescent="0.3">
      <c r="A186" s="40" t="s">
        <v>132</v>
      </c>
      <c r="B186" s="41">
        <f t="shared" ref="B186:H186" si="268">+IFERROR(B184/B$179,"nm")</f>
        <v>9.0817356205852677E-3</v>
      </c>
      <c r="C186" s="41">
        <f t="shared" si="268"/>
        <v>1.3810741687979539E-2</v>
      </c>
      <c r="D186" s="41">
        <f t="shared" si="268"/>
        <v>1.3712047012732615E-2</v>
      </c>
      <c r="E186" s="41">
        <f t="shared" si="268"/>
        <v>1.7497348886532343E-2</v>
      </c>
      <c r="F186" s="41">
        <f t="shared" si="268"/>
        <v>1.6264428121720881E-2</v>
      </c>
      <c r="G186" s="41">
        <f t="shared" si="268"/>
        <v>1.3542795232936078E-2</v>
      </c>
      <c r="H186" s="41">
        <f t="shared" si="268"/>
        <v>1.1791383219954649E-2</v>
      </c>
      <c r="I186" s="41">
        <f>+IFERROR(I184/I$179,"nm")</f>
        <v>9.3776641091219103E-3</v>
      </c>
      <c r="J186" s="41">
        <f t="shared" ref="J186:N186" si="269">+IFERROR(J184/J$179,"nm")</f>
        <v>9.3776641091219103E-3</v>
      </c>
      <c r="K186" s="41">
        <f t="shared" si="269"/>
        <v>9.3776641091219103E-3</v>
      </c>
      <c r="L186" s="41">
        <f t="shared" si="269"/>
        <v>9.3776641091219103E-3</v>
      </c>
      <c r="M186" s="41">
        <f t="shared" si="269"/>
        <v>9.3776641091219103E-3</v>
      </c>
      <c r="N186" s="41">
        <f t="shared" si="269"/>
        <v>9.3776641091219103E-3</v>
      </c>
    </row>
    <row r="187" spans="1:14" x14ac:dyDescent="0.3">
      <c r="A187" s="40" t="s">
        <v>139</v>
      </c>
      <c r="B187" s="41">
        <f t="shared" ref="B187:I187" si="270">+IFERROR(B184/B194,"nm")</f>
        <v>0.14754098360655737</v>
      </c>
      <c r="C187" s="41">
        <f t="shared" si="270"/>
        <v>0.216</v>
      </c>
      <c r="D187" s="41">
        <f t="shared" si="270"/>
        <v>0.224</v>
      </c>
      <c r="E187" s="41">
        <f t="shared" si="270"/>
        <v>0.28695652173913044</v>
      </c>
      <c r="F187" s="41">
        <f t="shared" si="270"/>
        <v>0.31</v>
      </c>
      <c r="G187" s="41">
        <f t="shared" si="270"/>
        <v>0.3125</v>
      </c>
      <c r="H187" s="41">
        <f t="shared" si="270"/>
        <v>0.41269841269841268</v>
      </c>
      <c r="I187" s="41">
        <f t="shared" si="270"/>
        <v>0.44897959183673469</v>
      </c>
      <c r="J187" s="43">
        <f>+I187</f>
        <v>0.44897959183673469</v>
      </c>
      <c r="K187" s="43">
        <f t="shared" ref="K187" si="271">+J187</f>
        <v>0.44897959183673469</v>
      </c>
      <c r="L187" s="43">
        <f t="shared" ref="L187" si="272">+K187</f>
        <v>0.44897959183673469</v>
      </c>
      <c r="M187" s="43">
        <f t="shared" ref="M187" si="273">+L187</f>
        <v>0.44897959183673469</v>
      </c>
      <c r="N187" s="43">
        <f t="shared" ref="N187" si="274">+M187</f>
        <v>0.44897959183673469</v>
      </c>
    </row>
    <row r="188" spans="1:14" x14ac:dyDescent="0.3">
      <c r="A188" s="9" t="s">
        <v>133</v>
      </c>
      <c r="B188" s="3">
        <f>Historicals!B162</f>
        <v>517</v>
      </c>
      <c r="C188" s="3">
        <f>Historicals!C162</f>
        <v>487</v>
      </c>
      <c r="D188" s="3">
        <f>Historicals!D162</f>
        <v>477</v>
      </c>
      <c r="E188" s="3">
        <f>Historicals!E162</f>
        <v>310</v>
      </c>
      <c r="F188" s="3">
        <f>Historicals!F162</f>
        <v>303</v>
      </c>
      <c r="G188" s="3">
        <f>Historicals!G162</f>
        <v>297</v>
      </c>
      <c r="H188" s="3">
        <f>Historicals!H162</f>
        <v>543</v>
      </c>
      <c r="I188" s="3">
        <f>Historicals!I162</f>
        <v>669</v>
      </c>
      <c r="J188" s="3">
        <f>J181-J184</f>
        <v>669</v>
      </c>
      <c r="K188" s="3">
        <f t="shared" ref="K188:N188" si="275">K181-K184</f>
        <v>669</v>
      </c>
      <c r="L188" s="3">
        <f t="shared" si="275"/>
        <v>669</v>
      </c>
      <c r="M188" s="3">
        <f t="shared" si="275"/>
        <v>669</v>
      </c>
      <c r="N188" s="3">
        <f t="shared" si="275"/>
        <v>669</v>
      </c>
    </row>
    <row r="189" spans="1:14" x14ac:dyDescent="0.3">
      <c r="A189" s="40" t="s">
        <v>128</v>
      </c>
      <c r="B189" s="41" t="str">
        <f t="shared" ref="B189" si="276">+IFERROR(B188/A188-1,"nm")</f>
        <v>nm</v>
      </c>
      <c r="C189" s="41">
        <f t="shared" ref="C189" si="277">+IFERROR(C188/B188-1,"nm")</f>
        <v>-5.8027079303675011E-2</v>
      </c>
      <c r="D189" s="41">
        <f t="shared" ref="D189" si="278">+IFERROR(D188/C188-1,"nm")</f>
        <v>-2.0533880903490731E-2</v>
      </c>
      <c r="E189" s="41">
        <f t="shared" ref="E189" si="279">+IFERROR(E188/D188-1,"nm")</f>
        <v>-0.35010482180293501</v>
      </c>
      <c r="F189" s="41">
        <f t="shared" ref="F189" si="280">+IFERROR(F188/E188-1,"nm")</f>
        <v>-2.2580645161290325E-2</v>
      </c>
      <c r="G189" s="41">
        <f t="shared" ref="G189" si="281">+IFERROR(G188/F188-1,"nm")</f>
        <v>-1.980198019801982E-2</v>
      </c>
      <c r="H189" s="41">
        <f t="shared" ref="H189" si="282">+IFERROR(H188/G188-1,"nm")</f>
        <v>0.82828282828282829</v>
      </c>
      <c r="I189" s="41">
        <f t="shared" ref="I189" si="283">+IFERROR(I188/H188-1,"nm")</f>
        <v>0.2320441988950277</v>
      </c>
      <c r="J189" s="41">
        <f t="shared" ref="J189" si="284">+IFERROR(J188/I188-1,"nm")</f>
        <v>0</v>
      </c>
      <c r="K189" s="41">
        <f t="shared" ref="K189" si="285">+IFERROR(K188/J188-1,"nm")</f>
        <v>0</v>
      </c>
      <c r="L189" s="41">
        <f t="shared" ref="L189" si="286">+IFERROR(L188/K188-1,"nm")</f>
        <v>0</v>
      </c>
      <c r="M189" s="41">
        <f t="shared" ref="M189" si="287">+IFERROR(M188/L188-1,"nm")</f>
        <v>0</v>
      </c>
      <c r="N189" s="41">
        <f t="shared" ref="N189" si="288">+IFERROR(N188/M188-1,"nm")</f>
        <v>0</v>
      </c>
    </row>
    <row r="190" spans="1:14" x14ac:dyDescent="0.3">
      <c r="A190" s="40" t="s">
        <v>130</v>
      </c>
      <c r="B190" s="41">
        <f t="shared" ref="B190:H190" si="289">+IFERROR(B188/B$179,"nm")</f>
        <v>0.26084762865792127</v>
      </c>
      <c r="C190" s="41">
        <f t="shared" si="289"/>
        <v>0.24910485933503837</v>
      </c>
      <c r="D190" s="41">
        <f t="shared" si="289"/>
        <v>0.23359451518119489</v>
      </c>
      <c r="E190" s="41">
        <f t="shared" si="289"/>
        <v>0.16436903499469777</v>
      </c>
      <c r="F190" s="41">
        <f t="shared" si="289"/>
        <v>0.1589716684155299</v>
      </c>
      <c r="G190" s="41">
        <f t="shared" si="289"/>
        <v>0.16088840736728061</v>
      </c>
      <c r="H190" s="41">
        <f t="shared" si="289"/>
        <v>0.24625850340136055</v>
      </c>
      <c r="I190" s="41">
        <f>+IFERROR(I188/I$179,"nm")</f>
        <v>0.28516624040920718</v>
      </c>
      <c r="J190" s="41">
        <f t="shared" ref="J190:N190" si="290">+IFERROR(J188/J$21,"nm")</f>
        <v>3.6451806244210759E-2</v>
      </c>
      <c r="K190" s="41">
        <f t="shared" si="290"/>
        <v>3.6451806244210759E-2</v>
      </c>
      <c r="L190" s="41">
        <f t="shared" si="290"/>
        <v>3.6451806244210759E-2</v>
      </c>
      <c r="M190" s="41">
        <f t="shared" si="290"/>
        <v>3.6451806244210759E-2</v>
      </c>
      <c r="N190" s="41">
        <f t="shared" si="290"/>
        <v>3.6451806244210759E-2</v>
      </c>
    </row>
    <row r="191" spans="1:14" x14ac:dyDescent="0.3">
      <c r="A191" s="9" t="s">
        <v>134</v>
      </c>
      <c r="B191" s="9">
        <f>Historicals!B186</f>
        <v>69</v>
      </c>
      <c r="C191" s="9">
        <f>Historicals!C186</f>
        <v>39</v>
      </c>
      <c r="D191" s="9">
        <f>Historicals!D186</f>
        <v>30</v>
      </c>
      <c r="E191" s="9">
        <f>Historicals!E186</f>
        <v>22</v>
      </c>
      <c r="F191" s="9">
        <f>Historicals!F186</f>
        <v>18</v>
      </c>
      <c r="G191" s="9">
        <f>Historicals!G186</f>
        <v>12</v>
      </c>
      <c r="H191" s="9">
        <f>Historicals!H186</f>
        <v>7</v>
      </c>
      <c r="I191" s="9">
        <f>Historicals!I186</f>
        <v>9</v>
      </c>
      <c r="J191" s="9">
        <f>J179*J193</f>
        <v>9</v>
      </c>
      <c r="K191" s="9">
        <f>K179*K193</f>
        <v>9</v>
      </c>
      <c r="L191" s="9">
        <f>L179*L193</f>
        <v>9</v>
      </c>
      <c r="M191" s="9">
        <f>M179*M193</f>
        <v>9</v>
      </c>
      <c r="N191" s="9">
        <f>N179*N193</f>
        <v>9</v>
      </c>
    </row>
    <row r="192" spans="1:14" x14ac:dyDescent="0.3">
      <c r="A192" s="40" t="s">
        <v>128</v>
      </c>
      <c r="B192" s="41" t="str">
        <f t="shared" ref="B192" si="291">+IFERROR(B191/A191-1,"nm")</f>
        <v>nm</v>
      </c>
      <c r="C192" s="41">
        <f t="shared" ref="C192" si="292">+IFERROR(C191/B191-1,"nm")</f>
        <v>-0.43478260869565222</v>
      </c>
      <c r="D192" s="41">
        <f t="shared" ref="D192" si="293">+IFERROR(D191/C191-1,"nm")</f>
        <v>-0.23076923076923073</v>
      </c>
      <c r="E192" s="41">
        <f t="shared" ref="E192" si="294">+IFERROR(E191/D191-1,"nm")</f>
        <v>-0.26666666666666672</v>
      </c>
      <c r="F192" s="41">
        <f t="shared" ref="F192" si="295">+IFERROR(F191/E191-1,"nm")</f>
        <v>-0.18181818181818177</v>
      </c>
      <c r="G192" s="41">
        <f t="shared" ref="G192" si="296">+IFERROR(G191/F191-1,"nm")</f>
        <v>-0.33333333333333337</v>
      </c>
      <c r="H192" s="41">
        <f t="shared" ref="H192" si="297">+IFERROR(H191/G191-1,"nm")</f>
        <v>-0.41666666666666663</v>
      </c>
      <c r="I192" s="41">
        <f t="shared" ref="I192" si="298">+IFERROR(I191/H191-1,"nm")</f>
        <v>0.28571428571428581</v>
      </c>
      <c r="J192" s="41">
        <f t="shared" ref="J192" si="299">+IFERROR(J191/I191-1,"nm")</f>
        <v>0</v>
      </c>
      <c r="K192" s="41">
        <f t="shared" ref="K192" si="300">+IFERROR(K191/J191-1,"nm")</f>
        <v>0</v>
      </c>
      <c r="L192" s="41">
        <f t="shared" ref="L192" si="301">+IFERROR(L191/K191-1,"nm")</f>
        <v>0</v>
      </c>
      <c r="M192" s="41">
        <f t="shared" ref="M192" si="302">+IFERROR(M191/L191-1,"nm")</f>
        <v>0</v>
      </c>
      <c r="N192" s="41">
        <f t="shared" ref="N192" si="303">+IFERROR(N191/M191-1,"nm")</f>
        <v>0</v>
      </c>
    </row>
    <row r="193" spans="1:14" x14ac:dyDescent="0.3">
      <c r="A193" s="40" t="s">
        <v>132</v>
      </c>
      <c r="B193" s="41">
        <f t="shared" ref="B193:H193" si="304">+IFERROR(B191/B$179,"nm")</f>
        <v>3.481331987891019E-2</v>
      </c>
      <c r="C193" s="41">
        <f t="shared" si="304"/>
        <v>1.9948849104859334E-2</v>
      </c>
      <c r="D193" s="41">
        <f t="shared" si="304"/>
        <v>1.4691478942213516E-2</v>
      </c>
      <c r="E193" s="41">
        <f t="shared" si="304"/>
        <v>1.166489925768823E-2</v>
      </c>
      <c r="F193" s="41">
        <f t="shared" si="304"/>
        <v>9.4438614900314802E-3</v>
      </c>
      <c r="G193" s="41">
        <f t="shared" si="304"/>
        <v>6.5005417118093175E-3</v>
      </c>
      <c r="H193" s="41">
        <f t="shared" si="304"/>
        <v>3.1746031746031746E-3</v>
      </c>
      <c r="I193" s="41">
        <f>+IFERROR(I191/I$179,"nm")</f>
        <v>3.8363171355498722E-3</v>
      </c>
      <c r="J193" s="43">
        <f>+I193</f>
        <v>3.8363171355498722E-3</v>
      </c>
      <c r="K193" s="43">
        <f t="shared" ref="K193" si="305">+J193</f>
        <v>3.8363171355498722E-3</v>
      </c>
      <c r="L193" s="43">
        <f t="shared" ref="L193" si="306">+K193</f>
        <v>3.8363171355498722E-3</v>
      </c>
      <c r="M193" s="43">
        <f t="shared" ref="M193" si="307">+L193</f>
        <v>3.8363171355498722E-3</v>
      </c>
      <c r="N193" s="43">
        <f t="shared" ref="N193" si="308">+M193</f>
        <v>3.8363171355498722E-3</v>
      </c>
    </row>
    <row r="194" spans="1:14" x14ac:dyDescent="0.3">
      <c r="A194" s="9" t="s">
        <v>140</v>
      </c>
      <c r="B194" s="9">
        <f>Historicals!B174</f>
        <v>122</v>
      </c>
      <c r="C194" s="9">
        <f>Historicals!C174</f>
        <v>125</v>
      </c>
      <c r="D194" s="9">
        <f>Historicals!D174</f>
        <v>125</v>
      </c>
      <c r="E194" s="9">
        <f>Historicals!E174</f>
        <v>115</v>
      </c>
      <c r="F194" s="9">
        <f>Historicals!F174</f>
        <v>100</v>
      </c>
      <c r="G194" s="9">
        <f>Historicals!G174</f>
        <v>80</v>
      </c>
      <c r="H194" s="9">
        <f>Historicals!H174</f>
        <v>63</v>
      </c>
      <c r="I194" s="9">
        <f>Historicals!I174</f>
        <v>49</v>
      </c>
      <c r="J194" s="42">
        <f>+J179*J196</f>
        <v>49</v>
      </c>
      <c r="K194" s="42">
        <f>+K179*K196</f>
        <v>49</v>
      </c>
      <c r="L194" s="42">
        <f>+L179*L196</f>
        <v>49</v>
      </c>
      <c r="M194" s="42">
        <f>+M179*M196</f>
        <v>49</v>
      </c>
      <c r="N194" s="42">
        <f>+N179*N196</f>
        <v>49</v>
      </c>
    </row>
    <row r="195" spans="1:14" x14ac:dyDescent="0.3">
      <c r="A195" s="40" t="s">
        <v>128</v>
      </c>
      <c r="B195" s="41" t="str">
        <f t="shared" ref="B195" si="309">+IFERROR(B194/A194-1,"nm")</f>
        <v>nm</v>
      </c>
      <c r="C195" s="41">
        <f t="shared" ref="C195" si="310">+IFERROR(C194/B194-1,"nm")</f>
        <v>2.4590163934426146E-2</v>
      </c>
      <c r="D195" s="41">
        <f t="shared" ref="D195" si="311">+IFERROR(D194/C194-1,"nm")</f>
        <v>0</v>
      </c>
      <c r="E195" s="41">
        <f t="shared" ref="E195" si="312">+IFERROR(E194/D194-1,"nm")</f>
        <v>-7.999999999999996E-2</v>
      </c>
      <c r="F195" s="41">
        <f t="shared" ref="F195" si="313">+IFERROR(F194/E194-1,"nm")</f>
        <v>-0.13043478260869568</v>
      </c>
      <c r="G195" s="41">
        <f t="shared" ref="G195" si="314">+IFERROR(G194/F194-1,"nm")</f>
        <v>-0.19999999999999996</v>
      </c>
      <c r="H195" s="41">
        <f t="shared" ref="H195" si="315">+IFERROR(H194/G194-1,"nm")</f>
        <v>-0.21250000000000002</v>
      </c>
      <c r="I195" s="41">
        <f>+IFERROR(I194/H194-1,"nm")</f>
        <v>-0.22222222222222221</v>
      </c>
      <c r="J195" s="41">
        <f>+J196+J197</f>
        <v>2.0886615515771527E-2</v>
      </c>
      <c r="K195" s="41">
        <f t="shared" ref="K195:N195" si="316">+K196+K197</f>
        <v>2.0886615515771527E-2</v>
      </c>
      <c r="L195" s="41">
        <f t="shared" si="316"/>
        <v>2.0886615515771527E-2</v>
      </c>
      <c r="M195" s="41">
        <f t="shared" si="316"/>
        <v>2.0886615515771527E-2</v>
      </c>
      <c r="N195" s="41">
        <f t="shared" si="316"/>
        <v>2.0886615515771527E-2</v>
      </c>
    </row>
    <row r="196" spans="1:14" x14ac:dyDescent="0.3">
      <c r="A196" s="40" t="s">
        <v>132</v>
      </c>
      <c r="B196" s="41">
        <f t="shared" ref="B196:H196" si="317">+IFERROR(B194/B$179,"nm")</f>
        <v>6.1553985872855703E-2</v>
      </c>
      <c r="C196" s="41">
        <f t="shared" si="317"/>
        <v>6.3938618925831206E-2</v>
      </c>
      <c r="D196" s="41">
        <f t="shared" si="317"/>
        <v>6.1214495592556317E-2</v>
      </c>
      <c r="E196" s="41">
        <f t="shared" si="317"/>
        <v>6.097560975609756E-2</v>
      </c>
      <c r="F196" s="41">
        <f t="shared" si="317"/>
        <v>5.2465897166841552E-2</v>
      </c>
      <c r="G196" s="41">
        <f t="shared" si="317"/>
        <v>4.3336944745395449E-2</v>
      </c>
      <c r="H196" s="41">
        <f t="shared" si="317"/>
        <v>2.8571428571428571E-2</v>
      </c>
      <c r="I196" s="41">
        <f>+IFERROR(I194/I$179,"nm")</f>
        <v>2.0886615515771527E-2</v>
      </c>
      <c r="J196" s="43">
        <f>+I196</f>
        <v>2.0886615515771527E-2</v>
      </c>
      <c r="K196" s="43">
        <f t="shared" ref="K196" si="318">+J196</f>
        <v>2.0886615515771527E-2</v>
      </c>
      <c r="L196" s="43">
        <f t="shared" ref="L196" si="319">+K196</f>
        <v>2.0886615515771527E-2</v>
      </c>
      <c r="M196" s="43">
        <f t="shared" ref="M196" si="320">+L196</f>
        <v>2.0886615515771527E-2</v>
      </c>
      <c r="N196" s="43">
        <f t="shared" ref="N196" si="321">+M196</f>
        <v>2.0886615515771527E-2</v>
      </c>
    </row>
    <row r="197" spans="1:14" x14ac:dyDescent="0.3">
      <c r="A197" s="70" t="s">
        <v>107</v>
      </c>
      <c r="B197" s="37"/>
      <c r="C197" s="37"/>
      <c r="D197" s="37"/>
      <c r="E197" s="37"/>
      <c r="F197" s="37"/>
      <c r="G197" s="37"/>
      <c r="H197" s="37"/>
      <c r="I197" s="37"/>
      <c r="J197" s="33"/>
      <c r="K197" s="33"/>
      <c r="L197" s="33"/>
      <c r="M197" s="33"/>
      <c r="N197" s="33"/>
    </row>
    <row r="198" spans="1:14" x14ac:dyDescent="0.3">
      <c r="A198" s="9" t="s">
        <v>135</v>
      </c>
      <c r="B198" s="9">
        <f>Historicals!B148</f>
        <v>-82</v>
      </c>
      <c r="C198" s="9">
        <f>Historicals!C148</f>
        <v>-86</v>
      </c>
      <c r="D198" s="9">
        <f>Historicals!D148</f>
        <v>75</v>
      </c>
      <c r="E198" s="9">
        <f>Historicals!E148</f>
        <v>26</v>
      </c>
      <c r="F198" s="9">
        <f>Historicals!F148</f>
        <v>-7</v>
      </c>
      <c r="G198" s="9">
        <f>Historicals!G148</f>
        <v>-11</v>
      </c>
      <c r="H198" s="9">
        <f>Historicals!H148</f>
        <v>40</v>
      </c>
      <c r="I198" s="9">
        <f>Historicals!I148</f>
        <v>-72</v>
      </c>
      <c r="J198" s="9">
        <f>I198</f>
        <v>-72</v>
      </c>
      <c r="K198" s="9">
        <f t="shared" ref="K198" si="322">J198</f>
        <v>-72</v>
      </c>
      <c r="L198" s="9">
        <f t="shared" ref="L198" si="323">K198</f>
        <v>-72</v>
      </c>
      <c r="M198" s="9">
        <f t="shared" ref="M198" si="324">L198</f>
        <v>-72</v>
      </c>
      <c r="N198" s="9">
        <f t="shared" ref="N198" si="325">M198</f>
        <v>-72</v>
      </c>
    </row>
    <row r="199" spans="1:14" x14ac:dyDescent="0.3">
      <c r="A199" s="38" t="s">
        <v>128</v>
      </c>
      <c r="B199" s="41" t="str">
        <f t="shared" ref="B199" si="326">+IFERROR(B198/A198-1,"nm")</f>
        <v>nm</v>
      </c>
      <c r="C199" s="41">
        <f t="shared" ref="C199" si="327">+IFERROR(C198/B198-1,"nm")</f>
        <v>4.8780487804878092E-2</v>
      </c>
      <c r="D199" s="41">
        <f t="shared" ref="D199" si="328">+IFERROR(D198/C198-1,"nm")</f>
        <v>-1.8720930232558139</v>
      </c>
      <c r="E199" s="41">
        <f t="shared" ref="E199" si="329">+IFERROR(E198/D198-1,"nm")</f>
        <v>-0.65333333333333332</v>
      </c>
      <c r="F199" s="41">
        <f t="shared" ref="F199" si="330">+IFERROR(F198/E198-1,"nm")</f>
        <v>-1.2692307692307692</v>
      </c>
      <c r="G199" s="41">
        <f t="shared" ref="G199" si="331">+IFERROR(G198/F198-1,"nm")</f>
        <v>0.5714285714285714</v>
      </c>
      <c r="H199" s="41">
        <f t="shared" ref="H199" si="332">+IFERROR(H198/G198-1,"nm")</f>
        <v>-4.6363636363636367</v>
      </c>
      <c r="I199" s="41">
        <f t="shared" ref="I199" si="333">+IFERROR(I198/H198-1,"nm")</f>
        <v>-2.8</v>
      </c>
      <c r="J199" s="41">
        <f>+IFERROR(J198/I198-1,"nm")</f>
        <v>0</v>
      </c>
      <c r="K199" s="41">
        <f t="shared" ref="K199" si="334">+IFERROR(K198/J198-1,"nm")</f>
        <v>0</v>
      </c>
      <c r="L199" s="41">
        <f t="shared" ref="L199" si="335">+IFERROR(L198/K198-1,"nm")</f>
        <v>0</v>
      </c>
      <c r="M199" s="41">
        <f t="shared" ref="M199" si="336">+IFERROR(M198/L198-1,"nm")</f>
        <v>0</v>
      </c>
      <c r="N199" s="41">
        <f t="shared" ref="N199" si="337">+IFERROR(N198/M198-1,"nm")</f>
        <v>0</v>
      </c>
    </row>
    <row r="200" spans="1:14" x14ac:dyDescent="0.3">
      <c r="A200" s="9" t="s">
        <v>129</v>
      </c>
      <c r="B200" s="9">
        <f t="shared" ref="B200:I200" si="338">+B203+B207</f>
        <v>-1022</v>
      </c>
      <c r="C200" s="9">
        <f t="shared" si="338"/>
        <v>-1089</v>
      </c>
      <c r="D200" s="9">
        <f t="shared" si="338"/>
        <v>-633</v>
      </c>
      <c r="E200" s="9">
        <f t="shared" si="338"/>
        <v>-1346</v>
      </c>
      <c r="F200" s="9">
        <f t="shared" si="338"/>
        <v>-1694</v>
      </c>
      <c r="G200" s="9">
        <f t="shared" si="338"/>
        <v>-1855</v>
      </c>
      <c r="H200" s="9">
        <f t="shared" si="338"/>
        <v>-2120</v>
      </c>
      <c r="I200" s="9">
        <f t="shared" si="338"/>
        <v>-2085</v>
      </c>
      <c r="J200" s="42">
        <f>+J198*J202</f>
        <v>-2085</v>
      </c>
      <c r="K200" s="42">
        <f>+K198*K202</f>
        <v>-2085</v>
      </c>
      <c r="L200" s="42">
        <f>+L198*L202</f>
        <v>-2085</v>
      </c>
      <c r="M200" s="42">
        <f>+M198*M202</f>
        <v>-2085</v>
      </c>
      <c r="N200" s="42">
        <f>+N198*N202</f>
        <v>-2085</v>
      </c>
    </row>
    <row r="201" spans="1:14" x14ac:dyDescent="0.3">
      <c r="A201" s="40" t="s">
        <v>128</v>
      </c>
      <c r="B201" s="41" t="str">
        <f t="shared" ref="B201" si="339">+IFERROR(B200/A200-1,"nm")</f>
        <v>nm</v>
      </c>
      <c r="C201" s="41">
        <f t="shared" ref="C201" si="340">+IFERROR(C200/B200-1,"nm")</f>
        <v>6.5557729941291498E-2</v>
      </c>
      <c r="D201" s="41">
        <f t="shared" ref="D201" si="341">+IFERROR(D200/C200-1,"nm")</f>
        <v>-0.41873278236914602</v>
      </c>
      <c r="E201" s="41">
        <f t="shared" ref="E201" si="342">+IFERROR(E200/D200-1,"nm")</f>
        <v>1.126382306477093</v>
      </c>
      <c r="F201" s="41">
        <f t="shared" ref="F201" si="343">+IFERROR(F200/E200-1,"nm")</f>
        <v>0.25854383358098065</v>
      </c>
      <c r="G201" s="41">
        <f t="shared" ref="G201" si="344">+IFERROR(G200/F200-1,"nm")</f>
        <v>9.5041322314049603E-2</v>
      </c>
      <c r="H201" s="41">
        <f t="shared" ref="H201" si="345">+IFERROR(H200/G200-1,"nm")</f>
        <v>0.14285714285714279</v>
      </c>
      <c r="I201" s="41">
        <f t="shared" ref="I201" si="346">+IFERROR(I200/H200-1,"nm")</f>
        <v>-1.650943396226412E-2</v>
      </c>
      <c r="J201" s="41">
        <f t="shared" ref="J201" si="347">+IFERROR(J200/I200-1,"nm")</f>
        <v>0</v>
      </c>
      <c r="K201" s="41">
        <f t="shared" ref="K201" si="348">+IFERROR(K200/J200-1,"nm")</f>
        <v>0</v>
      </c>
      <c r="L201" s="41">
        <f t="shared" ref="L201" si="349">+IFERROR(L200/K200-1,"nm")</f>
        <v>0</v>
      </c>
      <c r="M201" s="41">
        <f t="shared" ref="M201" si="350">+IFERROR(M200/L200-1,"nm")</f>
        <v>0</v>
      </c>
      <c r="N201" s="41">
        <f t="shared" ref="N201" si="351">+IFERROR(N200/M200-1,"nm")</f>
        <v>0</v>
      </c>
    </row>
    <row r="202" spans="1:14" x14ac:dyDescent="0.3">
      <c r="A202" s="40" t="s">
        <v>130</v>
      </c>
      <c r="B202" s="41">
        <f t="shared" ref="B202:H202" si="352">+IFERROR(B200/B$198,"nm")</f>
        <v>12.463414634146341</v>
      </c>
      <c r="C202" s="41">
        <f t="shared" si="352"/>
        <v>12.662790697674419</v>
      </c>
      <c r="D202" s="41">
        <f t="shared" si="352"/>
        <v>-8.44</v>
      </c>
      <c r="E202" s="41">
        <f t="shared" si="352"/>
        <v>-51.769230769230766</v>
      </c>
      <c r="F202" s="41">
        <f t="shared" si="352"/>
        <v>242</v>
      </c>
      <c r="G202" s="41">
        <f t="shared" si="352"/>
        <v>168.63636363636363</v>
      </c>
      <c r="H202" s="41">
        <f t="shared" si="352"/>
        <v>-53</v>
      </c>
      <c r="I202" s="41">
        <f>+IFERROR(I200/I$198,"nm")</f>
        <v>28.958333333333332</v>
      </c>
      <c r="J202" s="43">
        <f>+I202</f>
        <v>28.958333333333332</v>
      </c>
      <c r="K202" s="43">
        <f t="shared" ref="K202" si="353">+J202</f>
        <v>28.958333333333332</v>
      </c>
      <c r="L202" s="43">
        <f t="shared" ref="L202" si="354">+K202</f>
        <v>28.958333333333332</v>
      </c>
      <c r="M202" s="43">
        <f t="shared" ref="M202" si="355">+L202</f>
        <v>28.958333333333332</v>
      </c>
      <c r="N202" s="43">
        <f t="shared" ref="N202" si="356">+M202</f>
        <v>28.958333333333332</v>
      </c>
    </row>
    <row r="203" spans="1:14" x14ac:dyDescent="0.3">
      <c r="A203" s="9" t="s">
        <v>131</v>
      </c>
      <c r="B203" s="9">
        <f>Historicals!B199</f>
        <v>75</v>
      </c>
      <c r="C203" s="9">
        <f>Historicals!C199</f>
        <v>84</v>
      </c>
      <c r="D203" s="9">
        <f>Historicals!D199</f>
        <v>91</v>
      </c>
      <c r="E203" s="9">
        <f>Historicals!E199</f>
        <v>110</v>
      </c>
      <c r="F203" s="9">
        <f>Historicals!F199</f>
        <v>116</v>
      </c>
      <c r="G203" s="9">
        <f>Historicals!G199</f>
        <v>112</v>
      </c>
      <c r="H203" s="9">
        <f>Historicals!H199</f>
        <v>141</v>
      </c>
      <c r="I203" s="9">
        <f>Historicals!I199</f>
        <v>134</v>
      </c>
      <c r="J203" s="9">
        <f>J213*J206</f>
        <v>134</v>
      </c>
      <c r="K203" s="9">
        <f t="shared" ref="K203:N203" si="357">K213*K206</f>
        <v>134</v>
      </c>
      <c r="L203" s="9">
        <f t="shared" si="357"/>
        <v>134</v>
      </c>
      <c r="M203" s="9">
        <f t="shared" si="357"/>
        <v>134</v>
      </c>
      <c r="N203" s="9">
        <f t="shared" si="357"/>
        <v>134</v>
      </c>
    </row>
    <row r="204" spans="1:14" x14ac:dyDescent="0.3">
      <c r="A204" s="40" t="s">
        <v>128</v>
      </c>
      <c r="B204" s="41" t="str">
        <f t="shared" ref="B204" si="358">+IFERROR(B203/A203-1,"nm")</f>
        <v>nm</v>
      </c>
      <c r="C204" s="41">
        <f t="shared" ref="C204" si="359">+IFERROR(C203/B203-1,"nm")</f>
        <v>0.12000000000000011</v>
      </c>
      <c r="D204" s="41">
        <f t="shared" ref="D204" si="360">+IFERROR(D203/C203-1,"nm")</f>
        <v>8.3333333333333259E-2</v>
      </c>
      <c r="E204" s="41">
        <f t="shared" ref="E204" si="361">+IFERROR(E203/D203-1,"nm")</f>
        <v>0.20879120879120872</v>
      </c>
      <c r="F204" s="41">
        <f t="shared" ref="F204" si="362">+IFERROR(F203/E203-1,"nm")</f>
        <v>5.4545454545454453E-2</v>
      </c>
      <c r="G204" s="41">
        <f t="shared" ref="G204" si="363">+IFERROR(G203/F203-1,"nm")</f>
        <v>-3.4482758620689613E-2</v>
      </c>
      <c r="H204" s="41">
        <f t="shared" ref="H204" si="364">+IFERROR(H203/G203-1,"nm")</f>
        <v>0.2589285714285714</v>
      </c>
      <c r="I204" s="41">
        <f t="shared" ref="I204" si="365">+IFERROR(I203/H203-1,"nm")</f>
        <v>-4.9645390070921946E-2</v>
      </c>
      <c r="J204" s="41">
        <f t="shared" ref="J204" si="366">+IFERROR(J203/I203-1,"nm")</f>
        <v>0</v>
      </c>
      <c r="K204" s="41">
        <f t="shared" ref="K204" si="367">+IFERROR(K203/J203-1,"nm")</f>
        <v>0</v>
      </c>
      <c r="L204" s="41">
        <f t="shared" ref="L204" si="368">+IFERROR(L203/K203-1,"nm")</f>
        <v>0</v>
      </c>
      <c r="M204" s="41">
        <f t="shared" ref="M204" si="369">+IFERROR(M203/L203-1,"nm")</f>
        <v>0</v>
      </c>
      <c r="N204" s="41">
        <f t="shared" ref="N204" si="370">+IFERROR(N203/M203-1,"nm")</f>
        <v>0</v>
      </c>
    </row>
    <row r="205" spans="1:14" x14ac:dyDescent="0.3">
      <c r="A205" s="40" t="s">
        <v>132</v>
      </c>
      <c r="B205" s="41">
        <f t="shared" ref="B205:H205" si="371">+IFERROR(B203/B$198,"nm")</f>
        <v>-0.91463414634146345</v>
      </c>
      <c r="C205" s="41">
        <f t="shared" si="371"/>
        <v>-0.97674418604651159</v>
      </c>
      <c r="D205" s="41">
        <f t="shared" si="371"/>
        <v>1.2133333333333334</v>
      </c>
      <c r="E205" s="41">
        <f t="shared" si="371"/>
        <v>4.2307692307692308</v>
      </c>
      <c r="F205" s="41">
        <f t="shared" si="371"/>
        <v>-16.571428571428573</v>
      </c>
      <c r="G205" s="41">
        <f t="shared" si="371"/>
        <v>-10.181818181818182</v>
      </c>
      <c r="H205" s="41">
        <f t="shared" si="371"/>
        <v>3.5249999999999999</v>
      </c>
      <c r="I205" s="41">
        <f>+IFERROR(I203/I$198,"nm")</f>
        <v>-1.8611111111111112</v>
      </c>
      <c r="J205" s="41">
        <f t="shared" ref="J205:N205" si="372">+IFERROR(J203/J$198,"nm")</f>
        <v>-1.8611111111111112</v>
      </c>
      <c r="K205" s="41">
        <f t="shared" si="372"/>
        <v>-1.8611111111111112</v>
      </c>
      <c r="L205" s="41">
        <f t="shared" si="372"/>
        <v>-1.8611111111111112</v>
      </c>
      <c r="M205" s="41">
        <f t="shared" si="372"/>
        <v>-1.8611111111111112</v>
      </c>
      <c r="N205" s="41">
        <f t="shared" si="372"/>
        <v>-1.8611111111111112</v>
      </c>
    </row>
    <row r="206" spans="1:14" x14ac:dyDescent="0.3">
      <c r="A206" s="40" t="s">
        <v>139</v>
      </c>
      <c r="B206" s="41">
        <f t="shared" ref="B206:I206" si="373">+IFERROR(B203/B213,"nm")</f>
        <v>0.10518934081346423</v>
      </c>
      <c r="C206" s="41">
        <f t="shared" si="373"/>
        <v>8.9647812166488788E-2</v>
      </c>
      <c r="D206" s="41">
        <f t="shared" si="373"/>
        <v>7.3505654281098551E-2</v>
      </c>
      <c r="E206" s="41">
        <f t="shared" si="373"/>
        <v>7.586206896551724E-2</v>
      </c>
      <c r="F206" s="41">
        <f t="shared" si="373"/>
        <v>6.9336521219366412E-2</v>
      </c>
      <c r="G206" s="41">
        <f t="shared" si="373"/>
        <v>5.845511482254697E-2</v>
      </c>
      <c r="H206" s="41">
        <f t="shared" si="373"/>
        <v>7.5401069518716571E-2</v>
      </c>
      <c r="I206" s="41">
        <f t="shared" si="373"/>
        <v>7.374793615850303E-2</v>
      </c>
      <c r="J206" s="43">
        <f>+I206</f>
        <v>7.374793615850303E-2</v>
      </c>
      <c r="K206" s="43">
        <f t="shared" ref="K206" si="374">+J206</f>
        <v>7.374793615850303E-2</v>
      </c>
      <c r="L206" s="43">
        <f t="shared" ref="L206" si="375">+K206</f>
        <v>7.374793615850303E-2</v>
      </c>
      <c r="M206" s="43">
        <f t="shared" ref="M206" si="376">+L206</f>
        <v>7.374793615850303E-2</v>
      </c>
      <c r="N206" s="43">
        <f t="shared" ref="N206" si="377">+M206</f>
        <v>7.374793615850303E-2</v>
      </c>
    </row>
    <row r="207" spans="1:14" x14ac:dyDescent="0.3">
      <c r="A207" s="9" t="s">
        <v>133</v>
      </c>
      <c r="B207" s="3">
        <f>Historicals!B163</f>
        <v>-1097</v>
      </c>
      <c r="C207" s="3">
        <f>Historicals!C163</f>
        <v>-1173</v>
      </c>
      <c r="D207" s="3">
        <f>Historicals!D163</f>
        <v>-724</v>
      </c>
      <c r="E207" s="3">
        <f>Historicals!E163</f>
        <v>-1456</v>
      </c>
      <c r="F207" s="3">
        <f>Historicals!F163</f>
        <v>-1810</v>
      </c>
      <c r="G207" s="3">
        <f>Historicals!G163</f>
        <v>-1967</v>
      </c>
      <c r="H207" s="3">
        <f>Historicals!H163</f>
        <v>-2261</v>
      </c>
      <c r="I207" s="3">
        <f>Historicals!I163</f>
        <v>-2219</v>
      </c>
      <c r="J207" s="3">
        <f>J200-J203</f>
        <v>-2219</v>
      </c>
      <c r="K207" s="3">
        <f t="shared" ref="K207:N207" si="378">K200-K203</f>
        <v>-2219</v>
      </c>
      <c r="L207" s="3">
        <f t="shared" si="378"/>
        <v>-2219</v>
      </c>
      <c r="M207" s="3">
        <f t="shared" si="378"/>
        <v>-2219</v>
      </c>
      <c r="N207" s="3">
        <f t="shared" si="378"/>
        <v>-2219</v>
      </c>
    </row>
    <row r="208" spans="1:14" x14ac:dyDescent="0.3">
      <c r="A208" s="40" t="s">
        <v>128</v>
      </c>
      <c r="B208" s="41" t="str">
        <f t="shared" ref="B208" si="379">+IFERROR(B207/A207-1,"nm")</f>
        <v>nm</v>
      </c>
      <c r="C208" s="41">
        <f t="shared" ref="C208" si="380">+IFERROR(C207/B207-1,"nm")</f>
        <v>6.9279854147675568E-2</v>
      </c>
      <c r="D208" s="41">
        <f t="shared" ref="D208" si="381">+IFERROR(D207/C207-1,"nm")</f>
        <v>-0.38277919863597609</v>
      </c>
      <c r="E208" s="41">
        <f t="shared" ref="E208" si="382">+IFERROR(E207/D207-1,"nm")</f>
        <v>1.0110497237569063</v>
      </c>
      <c r="F208" s="41">
        <f t="shared" ref="F208" si="383">+IFERROR(F207/E207-1,"nm")</f>
        <v>0.24313186813186816</v>
      </c>
      <c r="G208" s="41">
        <f t="shared" ref="G208" si="384">+IFERROR(G207/F207-1,"nm")</f>
        <v>8.6740331491712785E-2</v>
      </c>
      <c r="H208" s="41">
        <f t="shared" ref="H208" si="385">+IFERROR(H207/G207-1,"nm")</f>
        <v>0.14946619217081847</v>
      </c>
      <c r="I208" s="41">
        <f t="shared" ref="I208" si="386">+IFERROR(I207/H207-1,"nm")</f>
        <v>-1.8575851393188847E-2</v>
      </c>
      <c r="J208" s="41">
        <f t="shared" ref="J208" si="387">+IFERROR(J207/I207-1,"nm")</f>
        <v>0</v>
      </c>
      <c r="K208" s="41">
        <f t="shared" ref="K208" si="388">+IFERROR(K207/J207-1,"nm")</f>
        <v>0</v>
      </c>
      <c r="L208" s="41">
        <f t="shared" ref="L208" si="389">+IFERROR(L207/K207-1,"nm")</f>
        <v>0</v>
      </c>
      <c r="M208" s="41">
        <f t="shared" ref="M208" si="390">+IFERROR(M207/L207-1,"nm")</f>
        <v>0</v>
      </c>
      <c r="N208" s="41">
        <f t="shared" ref="N208" si="391">+IFERROR(N207/M207-1,"nm")</f>
        <v>0</v>
      </c>
    </row>
    <row r="209" spans="1:14" x14ac:dyDescent="0.3">
      <c r="A209" s="40" t="s">
        <v>130</v>
      </c>
      <c r="B209" s="41">
        <f t="shared" ref="B209:H209" si="392">+IFERROR(B207/B$198,"nm")</f>
        <v>13.378048780487806</v>
      </c>
      <c r="C209" s="41">
        <f t="shared" si="392"/>
        <v>13.63953488372093</v>
      </c>
      <c r="D209" s="41">
        <f t="shared" si="392"/>
        <v>-9.6533333333333342</v>
      </c>
      <c r="E209" s="41">
        <f t="shared" si="392"/>
        <v>-56</v>
      </c>
      <c r="F209" s="41">
        <f t="shared" si="392"/>
        <v>258.57142857142856</v>
      </c>
      <c r="G209" s="41">
        <f t="shared" si="392"/>
        <v>178.81818181818181</v>
      </c>
      <c r="H209" s="41">
        <f t="shared" si="392"/>
        <v>-56.524999999999999</v>
      </c>
      <c r="I209" s="41">
        <f>+IFERROR(I207/I$198,"nm")</f>
        <v>30.819444444444443</v>
      </c>
      <c r="J209" s="41">
        <f t="shared" ref="J209:N209" si="393">+IFERROR(J207/J$21,"nm")</f>
        <v>-0.12090666376069308</v>
      </c>
      <c r="K209" s="41">
        <f t="shared" si="393"/>
        <v>-0.12090666376069308</v>
      </c>
      <c r="L209" s="41">
        <f t="shared" si="393"/>
        <v>-0.12090666376069308</v>
      </c>
      <c r="M209" s="41">
        <f t="shared" si="393"/>
        <v>-0.12090666376069308</v>
      </c>
      <c r="N209" s="41">
        <f t="shared" si="393"/>
        <v>-0.12090666376069308</v>
      </c>
    </row>
    <row r="210" spans="1:14" x14ac:dyDescent="0.3">
      <c r="A210" s="9" t="s">
        <v>134</v>
      </c>
      <c r="B210" s="9">
        <f>Historicals!B187</f>
        <v>-859</v>
      </c>
      <c r="C210" s="9">
        <f>Historicals!C187</f>
        <v>-879</v>
      </c>
      <c r="D210" s="9">
        <f>Historicals!D187</f>
        <v>-814</v>
      </c>
      <c r="E210" s="9">
        <f>Historicals!E187</f>
        <v>-869</v>
      </c>
      <c r="F210" s="9">
        <f>Historicals!F187</f>
        <v>-742</v>
      </c>
      <c r="G210" s="9">
        <f>Historicals!G187</f>
        <v>-768</v>
      </c>
      <c r="H210" s="9">
        <f>Historicals!H187</f>
        <v>-684</v>
      </c>
      <c r="I210" s="9">
        <f>Historicals!I187</f>
        <v>-708</v>
      </c>
      <c r="J210" s="9">
        <f>J198*J212</f>
        <v>-708</v>
      </c>
      <c r="K210" s="9">
        <f>K198*K212</f>
        <v>-708</v>
      </c>
      <c r="L210" s="9">
        <f>L198*L212</f>
        <v>-708</v>
      </c>
      <c r="M210" s="9">
        <f>M198*M212</f>
        <v>-708</v>
      </c>
      <c r="N210" s="9">
        <f>N198*N212</f>
        <v>-708</v>
      </c>
    </row>
    <row r="211" spans="1:14" x14ac:dyDescent="0.3">
      <c r="A211" s="40" t="s">
        <v>128</v>
      </c>
      <c r="B211" s="41" t="str">
        <f t="shared" ref="B211" si="394">+IFERROR(B210/A210-1,"nm")</f>
        <v>nm</v>
      </c>
      <c r="C211" s="41">
        <f t="shared" ref="C211" si="395">+IFERROR(C210/B210-1,"nm")</f>
        <v>2.3282887077997749E-2</v>
      </c>
      <c r="D211" s="41">
        <f t="shared" ref="D211" si="396">+IFERROR(D210/C210-1,"nm")</f>
        <v>-7.3947667804323047E-2</v>
      </c>
      <c r="E211" s="41">
        <f t="shared" ref="E211" si="397">+IFERROR(E210/D210-1,"nm")</f>
        <v>6.7567567567567544E-2</v>
      </c>
      <c r="F211" s="41">
        <f t="shared" ref="F211" si="398">+IFERROR(F210/E210-1,"nm")</f>
        <v>-0.14614499424626004</v>
      </c>
      <c r="G211" s="41">
        <f t="shared" ref="G211" si="399">+IFERROR(G210/F210-1,"nm")</f>
        <v>3.5040431266846417E-2</v>
      </c>
      <c r="H211" s="41">
        <f t="shared" ref="H211" si="400">+IFERROR(H210/G210-1,"nm")</f>
        <v>-0.109375</v>
      </c>
      <c r="I211" s="41">
        <f t="shared" ref="I211" si="401">+IFERROR(I210/H210-1,"nm")</f>
        <v>3.5087719298245723E-2</v>
      </c>
      <c r="J211" s="41">
        <f t="shared" ref="J211" si="402">+IFERROR(J210/I210-1,"nm")</f>
        <v>0</v>
      </c>
      <c r="K211" s="41">
        <f t="shared" ref="K211" si="403">+IFERROR(K210/J210-1,"nm")</f>
        <v>0</v>
      </c>
      <c r="L211" s="41">
        <f t="shared" ref="L211" si="404">+IFERROR(L210/K210-1,"nm")</f>
        <v>0</v>
      </c>
      <c r="M211" s="41">
        <f t="shared" ref="M211" si="405">+IFERROR(M210/L210-1,"nm")</f>
        <v>0</v>
      </c>
      <c r="N211" s="41">
        <f t="shared" ref="N211" si="406">+IFERROR(N210/M210-1,"nm")</f>
        <v>0</v>
      </c>
    </row>
    <row r="212" spans="1:14" x14ac:dyDescent="0.3">
      <c r="A212" s="40" t="s">
        <v>132</v>
      </c>
      <c r="B212" s="41">
        <f t="shared" ref="B212:H212" si="407">+IFERROR(B210/B$198,"nm")</f>
        <v>10.475609756097562</v>
      </c>
      <c r="C212" s="41">
        <f t="shared" si="407"/>
        <v>10.220930232558139</v>
      </c>
      <c r="D212" s="41">
        <f t="shared" si="407"/>
        <v>-10.853333333333333</v>
      </c>
      <c r="E212" s="41">
        <f t="shared" si="407"/>
        <v>-33.42307692307692</v>
      </c>
      <c r="F212" s="41">
        <f t="shared" si="407"/>
        <v>106</v>
      </c>
      <c r="G212" s="41">
        <f t="shared" si="407"/>
        <v>69.818181818181813</v>
      </c>
      <c r="H212" s="41">
        <f t="shared" si="407"/>
        <v>-17.100000000000001</v>
      </c>
      <c r="I212" s="41">
        <f>+IFERROR(I210/I$198,"nm")</f>
        <v>9.8333333333333339</v>
      </c>
      <c r="J212" s="43">
        <f>+I212</f>
        <v>9.8333333333333339</v>
      </c>
      <c r="K212" s="43">
        <f t="shared" ref="K212" si="408">+J212</f>
        <v>9.8333333333333339</v>
      </c>
      <c r="L212" s="43">
        <f t="shared" ref="L212" si="409">+K212</f>
        <v>9.8333333333333339</v>
      </c>
      <c r="M212" s="43">
        <f t="shared" ref="M212" si="410">+L212</f>
        <v>9.8333333333333339</v>
      </c>
      <c r="N212" s="43">
        <f t="shared" ref="N212" si="411">+M212</f>
        <v>9.8333333333333339</v>
      </c>
    </row>
    <row r="213" spans="1:14" x14ac:dyDescent="0.3">
      <c r="A213" s="9" t="s">
        <v>140</v>
      </c>
      <c r="B213" s="9">
        <f>Historicals!B175</f>
        <v>713</v>
      </c>
      <c r="C213" s="9">
        <f>Historicals!C175</f>
        <v>937</v>
      </c>
      <c r="D213" s="9">
        <f>Historicals!D175</f>
        <v>1238</v>
      </c>
      <c r="E213" s="9">
        <f>Historicals!E175</f>
        <v>1450</v>
      </c>
      <c r="F213" s="9">
        <f>Historicals!F175</f>
        <v>1673</v>
      </c>
      <c r="G213" s="9">
        <f>Historicals!G175</f>
        <v>1916</v>
      </c>
      <c r="H213" s="9">
        <f>Historicals!H175</f>
        <v>1870</v>
      </c>
      <c r="I213" s="9">
        <f>Historicals!I175</f>
        <v>1817</v>
      </c>
      <c r="J213" s="42">
        <f>+J198*J215</f>
        <v>1817</v>
      </c>
      <c r="K213" s="42">
        <f>+K198*K215</f>
        <v>1817</v>
      </c>
      <c r="L213" s="42">
        <f>+L198*L215</f>
        <v>1817</v>
      </c>
      <c r="M213" s="42">
        <f>+M198*M215</f>
        <v>1817</v>
      </c>
      <c r="N213" s="42">
        <f>+N198*N215</f>
        <v>1817</v>
      </c>
    </row>
    <row r="214" spans="1:14" x14ac:dyDescent="0.3">
      <c r="A214" s="40" t="s">
        <v>128</v>
      </c>
      <c r="B214" s="41" t="str">
        <f t="shared" ref="B214" si="412">+IFERROR(B213/A213-1,"nm")</f>
        <v>nm</v>
      </c>
      <c r="C214" s="41">
        <f t="shared" ref="C214" si="413">+IFERROR(C213/B213-1,"nm")</f>
        <v>0.31416549789621318</v>
      </c>
      <c r="D214" s="41">
        <f t="shared" ref="D214" si="414">+IFERROR(D213/C213-1,"nm")</f>
        <v>0.32123799359658478</v>
      </c>
      <c r="E214" s="41">
        <f t="shared" ref="E214" si="415">+IFERROR(E213/D213-1,"nm")</f>
        <v>0.17124394184168024</v>
      </c>
      <c r="F214" s="41">
        <f t="shared" ref="F214" si="416">+IFERROR(F213/E213-1,"nm")</f>
        <v>0.15379310344827579</v>
      </c>
      <c r="G214" s="41">
        <f t="shared" ref="G214" si="417">+IFERROR(G213/F213-1,"nm")</f>
        <v>0.14524805738194857</v>
      </c>
      <c r="H214" s="41">
        <f t="shared" ref="H214" si="418">+IFERROR(H213/G213-1,"nm")</f>
        <v>-2.4008350730688965E-2</v>
      </c>
      <c r="I214" s="41">
        <f>+IFERROR(I213/H213-1,"nm")</f>
        <v>-2.8342245989304793E-2</v>
      </c>
      <c r="J214" s="41">
        <f>+J215+J216</f>
        <v>-25.236111111111111</v>
      </c>
      <c r="K214" s="41">
        <f t="shared" ref="K214:N214" si="419">+K215+K216</f>
        <v>-25.236111111111111</v>
      </c>
      <c r="L214" s="41">
        <f t="shared" si="419"/>
        <v>-25.236111111111111</v>
      </c>
      <c r="M214" s="41">
        <f t="shared" si="419"/>
        <v>-25.236111111111111</v>
      </c>
      <c r="N214" s="41">
        <f t="shared" si="419"/>
        <v>-25.236111111111111</v>
      </c>
    </row>
    <row r="215" spans="1:14" x14ac:dyDescent="0.3">
      <c r="A215" s="40" t="s">
        <v>132</v>
      </c>
      <c r="B215" s="41">
        <f t="shared" ref="B215:H215" si="420">+IFERROR(B213/B$198,"nm")</f>
        <v>-8.6951219512195124</v>
      </c>
      <c r="C215" s="41">
        <f t="shared" si="420"/>
        <v>-10.895348837209303</v>
      </c>
      <c r="D215" s="41">
        <f t="shared" si="420"/>
        <v>16.506666666666668</v>
      </c>
      <c r="E215" s="41">
        <f t="shared" si="420"/>
        <v>55.769230769230766</v>
      </c>
      <c r="F215" s="41">
        <f t="shared" si="420"/>
        <v>-239</v>
      </c>
      <c r="G215" s="41">
        <f t="shared" si="420"/>
        <v>-174.18181818181819</v>
      </c>
      <c r="H215" s="41">
        <f t="shared" si="420"/>
        <v>46.75</v>
      </c>
      <c r="I215" s="41">
        <f>+IFERROR(I213/I$198,"nm")</f>
        <v>-25.236111111111111</v>
      </c>
      <c r="J215" s="43">
        <f>+I215</f>
        <v>-25.236111111111111</v>
      </c>
      <c r="K215" s="43">
        <f t="shared" ref="K215" si="421">+J215</f>
        <v>-25.236111111111111</v>
      </c>
      <c r="L215" s="43">
        <f t="shared" ref="L215" si="422">+K215</f>
        <v>-25.236111111111111</v>
      </c>
      <c r="M215" s="43">
        <f t="shared" ref="M215" si="423">+L215</f>
        <v>-25.236111111111111</v>
      </c>
      <c r="N215" s="43">
        <f t="shared" ref="N215" si="424">+M215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J1" sqref="J1"/>
    </sheetView>
  </sheetViews>
  <sheetFormatPr defaultRowHeight="14.4" x14ac:dyDescent="0.3"/>
  <cols>
    <col min="1" max="1" width="48.77734375" customWidth="1"/>
    <col min="2" max="15" width="11.77734375" customWidth="1"/>
    <col min="16" max="16" width="39.88671875" customWidth="1"/>
  </cols>
  <sheetData>
    <row r="1" spans="1:16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 t="s">
        <v>219</v>
      </c>
      <c r="K1" s="33">
        <f>+I1+1</f>
        <v>2023</v>
      </c>
      <c r="L1" s="33">
        <f t="shared" ref="L1:O1" si="1">+K1+1</f>
        <v>2024</v>
      </c>
      <c r="M1" s="33">
        <f t="shared" si="1"/>
        <v>2025</v>
      </c>
      <c r="N1" s="33">
        <f t="shared" si="1"/>
        <v>2026</v>
      </c>
      <c r="O1" s="33">
        <f t="shared" si="1"/>
        <v>2027</v>
      </c>
    </row>
    <row r="2" spans="1:16" x14ac:dyDescent="0.3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33"/>
      <c r="M2" s="33"/>
      <c r="N2" s="33"/>
      <c r="O2" s="33"/>
    </row>
    <row r="3" spans="1:16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194</v>
      </c>
    </row>
    <row r="4" spans="1:16" x14ac:dyDescent="0.3">
      <c r="A4" s="36" t="s">
        <v>128</v>
      </c>
      <c r="B4" s="41" t="str">
        <f>'Segmental forecast'!B4</f>
        <v>nm</v>
      </c>
      <c r="C4" s="41">
        <f>'Segmental forecast'!C4</f>
        <v>5.8004640371229765E-2</v>
      </c>
      <c r="D4" s="41">
        <f>'Segmental forecast'!D4</f>
        <v>6.0971089696071123E-2</v>
      </c>
      <c r="E4" s="41">
        <f>'Segmental forecast'!E4</f>
        <v>5.95924308588065E-2</v>
      </c>
      <c r="F4" s="41">
        <f>'Segmental forecast'!F4</f>
        <v>7.4731433909388079E-2</v>
      </c>
      <c r="G4" s="41">
        <f>'Segmental forecast'!G4</f>
        <v>-4.3817266150267153E-2</v>
      </c>
      <c r="H4" s="41">
        <f>'Segmental forecast'!H4</f>
        <v>0.19076009945726269</v>
      </c>
      <c r="I4" s="41">
        <f>'Segmental forecast'!I4</f>
        <v>4.8767344739323759E-2</v>
      </c>
      <c r="J4" s="41"/>
      <c r="K4" s="48"/>
      <c r="L4" s="48"/>
      <c r="M4" s="48"/>
      <c r="N4" s="48"/>
      <c r="O4" s="48"/>
    </row>
    <row r="5" spans="1:16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3">
      <c r="A6" s="44" t="s">
        <v>131</v>
      </c>
      <c r="B6" s="49">
        <f>'Segmental forecast'!B8</f>
        <v>606</v>
      </c>
      <c r="C6" s="49">
        <f>'Segmental forecast'!C8</f>
        <v>649</v>
      </c>
      <c r="D6" s="49">
        <f>'Segmental forecast'!D8</f>
        <v>706</v>
      </c>
      <c r="E6" s="49">
        <f>'Segmental forecast'!E8</f>
        <v>747</v>
      </c>
      <c r="F6" s="49">
        <f>'Segmental forecast'!F8</f>
        <v>705</v>
      </c>
      <c r="G6" s="49">
        <f>'Segmental forecast'!G8</f>
        <v>721</v>
      </c>
      <c r="H6" s="49">
        <f>'Segmental forecast'!H8</f>
        <v>744</v>
      </c>
      <c r="I6" s="49">
        <f>'Segmental forecast'!I8</f>
        <v>717</v>
      </c>
      <c r="J6" s="49"/>
      <c r="K6" s="49"/>
      <c r="L6" s="49"/>
      <c r="M6" s="49"/>
      <c r="N6" s="49"/>
      <c r="O6" s="49"/>
    </row>
    <row r="7" spans="1:16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5"/>
    </row>
    <row r="8" spans="1:16" x14ac:dyDescent="0.3">
      <c r="A8" s="36" t="s">
        <v>128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  <c r="O8" s="48"/>
    </row>
    <row r="9" spans="1:16" x14ac:dyDescent="0.3">
      <c r="A9" s="36" t="s">
        <v>130</v>
      </c>
      <c r="B9" s="48">
        <f>'Segmental forecast'!B13</f>
        <v>0.13832881278389594</v>
      </c>
      <c r="C9" s="48">
        <f>'Segmental forecast'!C13</f>
        <v>0.14337781072399308</v>
      </c>
      <c r="D9" s="48">
        <f>'Segmental forecast'!D13</f>
        <v>0.14395924308588065</v>
      </c>
      <c r="E9" s="48">
        <f>'Segmental forecast'!E13</f>
        <v>0.12031211363573921</v>
      </c>
      <c r="F9" s="48">
        <f>'Segmental forecast'!F13</f>
        <v>0.12398701331901731</v>
      </c>
      <c r="G9" s="48">
        <f>'Segmental forecast'!G13</f>
        <v>7.9565810229126011E-2</v>
      </c>
      <c r="H9" s="48">
        <f>'Segmental forecast'!H13</f>
        <v>0.1554402981723472</v>
      </c>
      <c r="I9" s="48">
        <f>'Segmental forecast'!I13</f>
        <v>0.14677799186469706</v>
      </c>
      <c r="J9" s="48"/>
      <c r="K9" s="48"/>
      <c r="L9" s="48"/>
      <c r="M9" s="48"/>
      <c r="N9" s="48"/>
      <c r="O9" s="48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  <c r="O11" s="5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0"/>
      <c r="K13" s="51"/>
      <c r="L13" s="51"/>
      <c r="M13" s="51"/>
      <c r="N13" s="51"/>
      <c r="O13" s="51"/>
    </row>
    <row r="14" spans="1:16" ht="15" thickBot="1" x14ac:dyDescent="0.35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7"/>
    </row>
    <row r="15" spans="1:16" ht="15" thickTop="1" x14ac:dyDescent="0.3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195</v>
      </c>
    </row>
    <row r="16" spans="1:16" x14ac:dyDescent="0.3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  <c r="O16" s="52"/>
    </row>
    <row r="17" spans="1:16" x14ac:dyDescent="0.3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  <c r="O17" s="52"/>
    </row>
    <row r="18" spans="1:16" x14ac:dyDescent="0.3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41"/>
      <c r="K18" s="51"/>
      <c r="L18" s="51"/>
      <c r="M18" s="51"/>
      <c r="N18" s="51"/>
      <c r="O18" s="51"/>
      <c r="P18" t="s">
        <v>196</v>
      </c>
    </row>
    <row r="19" spans="1:16" x14ac:dyDescent="0.3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s="50"/>
      <c r="P19" t="s">
        <v>196</v>
      </c>
    </row>
    <row r="20" spans="1:16" x14ac:dyDescent="0.3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4"/>
      <c r="K20" s="33"/>
      <c r="L20" s="33"/>
      <c r="M20" s="33"/>
      <c r="N20" s="33"/>
      <c r="O20" s="33"/>
    </row>
    <row r="21" spans="1:16" x14ac:dyDescent="0.3">
      <c r="A21" s="71" t="s">
        <v>156</v>
      </c>
      <c r="B21" s="64">
        <f>Historicals!B25</f>
        <v>3852</v>
      </c>
      <c r="C21" s="64">
        <f>Historicals!C25</f>
        <v>3138</v>
      </c>
      <c r="D21" s="64">
        <f>Historicals!D25</f>
        <v>3808</v>
      </c>
      <c r="E21" s="64">
        <f>Historicals!E25</f>
        <v>4249</v>
      </c>
      <c r="F21" s="64">
        <f>Historicals!F25</f>
        <v>4466</v>
      </c>
      <c r="G21" s="64">
        <f>Historicals!G25</f>
        <v>8348</v>
      </c>
      <c r="H21" s="64">
        <f>Historicals!H25</f>
        <v>9889</v>
      </c>
      <c r="I21" s="64">
        <f>Historicals!I25</f>
        <v>8574</v>
      </c>
      <c r="J21" s="64"/>
      <c r="K21" s="3"/>
      <c r="L21" s="3"/>
      <c r="M21" s="3"/>
      <c r="N21" s="3"/>
      <c r="O21" s="3"/>
    </row>
    <row r="22" spans="1:16" x14ac:dyDescent="0.3">
      <c r="A22" s="71" t="s">
        <v>157</v>
      </c>
      <c r="B22" s="64">
        <f>Historicals!B26</f>
        <v>2072</v>
      </c>
      <c r="C22" s="64">
        <f>Historicals!C26</f>
        <v>2319</v>
      </c>
      <c r="D22" s="64">
        <f>Historicals!D26</f>
        <v>2371</v>
      </c>
      <c r="E22" s="64">
        <f>Historicals!E26</f>
        <v>996</v>
      </c>
      <c r="F22" s="64">
        <f>Historicals!F26</f>
        <v>197</v>
      </c>
      <c r="G22" s="64">
        <f>Historicals!G26</f>
        <v>439</v>
      </c>
      <c r="H22" s="64">
        <f>Historicals!H26</f>
        <v>3587</v>
      </c>
      <c r="I22" s="64">
        <f>Historicals!I26</f>
        <v>4423</v>
      </c>
      <c r="J22" s="64"/>
      <c r="K22" s="3"/>
      <c r="L22" s="3"/>
      <c r="M22" s="3"/>
      <c r="N22" s="3"/>
      <c r="O22" s="3"/>
    </row>
    <row r="23" spans="1:16" x14ac:dyDescent="0.3">
      <c r="A23" s="71" t="s">
        <v>158</v>
      </c>
      <c r="B23" s="64">
        <f>Historicals!B28+Historicals!B27-Historicals!B41</f>
        <v>5564</v>
      </c>
      <c r="C23" s="64">
        <f>Historicals!C28+Historicals!C27-Historicals!C41</f>
        <v>5888</v>
      </c>
      <c r="D23" s="64">
        <f>Historicals!D28+Historicals!D27-Historicals!D41</f>
        <v>6684</v>
      </c>
      <c r="E23" s="64">
        <f>Historicals!E28+Historicals!E27-Historicals!E41</f>
        <v>6480</v>
      </c>
      <c r="F23" s="64">
        <f>Historicals!F28+Historicals!F27-Historicals!F41</f>
        <v>7282</v>
      </c>
      <c r="G23" s="64">
        <f>Historicals!G28+Historicals!G27-Historicals!G41</f>
        <v>7868</v>
      </c>
      <c r="H23" s="64">
        <f>Historicals!H28+Historicals!H27-Historicals!H41</f>
        <v>8481</v>
      </c>
      <c r="I23" s="64">
        <f>Historicals!I28+Historicals!I27-Historicals!I41</f>
        <v>9729</v>
      </c>
      <c r="J23" s="64"/>
      <c r="K23" s="3"/>
      <c r="L23" s="3"/>
      <c r="M23" s="3"/>
      <c r="N23" s="3"/>
      <c r="O23" s="3"/>
    </row>
    <row r="24" spans="1:16" x14ac:dyDescent="0.3">
      <c r="A24" s="61" t="s">
        <v>159</v>
      </c>
      <c r="B24" s="72">
        <f t="shared" ref="B24:H24" si="5">B23/B3</f>
        <v>0.18182412339466031</v>
      </c>
      <c r="C24" s="72">
        <f t="shared" si="5"/>
        <v>0.1818631084754139</v>
      </c>
      <c r="D24" s="72">
        <f t="shared" si="5"/>
        <v>0.19458515283842795</v>
      </c>
      <c r="E24" s="72">
        <f t="shared" si="5"/>
        <v>0.17803665137236585</v>
      </c>
      <c r="F24" s="72">
        <f t="shared" si="5"/>
        <v>0.18615947030702765</v>
      </c>
      <c r="G24" s="72">
        <f t="shared" si="5"/>
        <v>0.21035745795791783</v>
      </c>
      <c r="H24" s="72">
        <f t="shared" si="5"/>
        <v>0.19042166240064665</v>
      </c>
      <c r="I24" s="72">
        <f t="shared" ref="I24" si="6">I23/I3</f>
        <v>0.20828516377649325</v>
      </c>
      <c r="J24" s="72"/>
      <c r="K24" s="51"/>
      <c r="L24" s="51"/>
      <c r="M24" s="51"/>
      <c r="N24" s="51"/>
      <c r="O24" s="51"/>
    </row>
    <row r="25" spans="1:16" x14ac:dyDescent="0.3">
      <c r="A25" s="71" t="s">
        <v>160</v>
      </c>
      <c r="B25" s="64">
        <f>Historicals!B29</f>
        <v>1968</v>
      </c>
      <c r="C25" s="64">
        <f>Historicals!C29</f>
        <v>1489</v>
      </c>
      <c r="D25" s="64">
        <f>Historicals!D29</f>
        <v>1150</v>
      </c>
      <c r="E25" s="64">
        <f>Historicals!E29</f>
        <v>1130</v>
      </c>
      <c r="F25" s="64">
        <f>Historicals!F29</f>
        <v>1968</v>
      </c>
      <c r="G25" s="64">
        <f>Historicals!G29</f>
        <v>1653</v>
      </c>
      <c r="H25" s="64">
        <f>Historicals!H29</f>
        <v>1498</v>
      </c>
      <c r="I25" s="64">
        <f>Historicals!I29</f>
        <v>2129</v>
      </c>
      <c r="J25" s="64"/>
      <c r="K25" s="3"/>
      <c r="L25" s="3"/>
      <c r="M25" s="3"/>
      <c r="N25" s="3"/>
      <c r="O25" s="3"/>
    </row>
    <row r="26" spans="1:16" x14ac:dyDescent="0.3">
      <c r="A26" s="71" t="s">
        <v>161</v>
      </c>
      <c r="B26" s="64">
        <f>Historicals!B31</f>
        <v>3011</v>
      </c>
      <c r="C26" s="64">
        <f>Historicals!C31</f>
        <v>3520</v>
      </c>
      <c r="D26" s="64">
        <f>Historicals!D31</f>
        <v>3989</v>
      </c>
      <c r="E26" s="64">
        <f>Historicals!E31</f>
        <v>4454</v>
      </c>
      <c r="F26" s="64">
        <f>Historicals!F31</f>
        <v>4744</v>
      </c>
      <c r="G26" s="64">
        <f>Historicals!G31</f>
        <v>4866</v>
      </c>
      <c r="H26" s="64">
        <f>Historicals!H31</f>
        <v>4904</v>
      </c>
      <c r="I26" s="64">
        <f>Historicals!I31</f>
        <v>4791</v>
      </c>
      <c r="J26" s="64"/>
      <c r="K26" s="3"/>
      <c r="L26" s="3"/>
      <c r="M26" s="3"/>
      <c r="N26" s="3"/>
      <c r="O26" s="3"/>
    </row>
    <row r="27" spans="1:16" x14ac:dyDescent="0.3">
      <c r="A27" s="71" t="s">
        <v>162</v>
      </c>
      <c r="B27" s="64">
        <f>Historicals!B33</f>
        <v>281</v>
      </c>
      <c r="C27" s="64">
        <f>Historicals!C33</f>
        <v>281</v>
      </c>
      <c r="D27" s="64">
        <f>Historicals!D33</f>
        <v>283</v>
      </c>
      <c r="E27" s="64">
        <f>Historicals!E33</f>
        <v>285</v>
      </c>
      <c r="F27" s="64">
        <f>Historicals!F33</f>
        <v>283</v>
      </c>
      <c r="G27" s="64">
        <f>Historicals!G33</f>
        <v>274</v>
      </c>
      <c r="H27" s="64">
        <f>Historicals!H33</f>
        <v>269</v>
      </c>
      <c r="I27" s="64">
        <f>Historicals!I33</f>
        <v>286</v>
      </c>
      <c r="J27" s="64"/>
      <c r="K27" s="3"/>
      <c r="L27" s="3"/>
      <c r="M27" s="3"/>
      <c r="N27" s="3"/>
      <c r="O27" s="3"/>
    </row>
    <row r="28" spans="1:16" x14ac:dyDescent="0.3">
      <c r="A28" s="71" t="s">
        <v>40</v>
      </c>
      <c r="B28" s="64">
        <f>Historicals!B34</f>
        <v>131</v>
      </c>
      <c r="C28" s="64">
        <f>Historicals!C34</f>
        <v>131</v>
      </c>
      <c r="D28" s="64">
        <f>Historicals!D34</f>
        <v>139</v>
      </c>
      <c r="E28" s="64">
        <f>Historicals!E34</f>
        <v>154</v>
      </c>
      <c r="F28" s="64">
        <f>Historicals!F34</f>
        <v>154</v>
      </c>
      <c r="G28" s="64">
        <f>Historicals!G34</f>
        <v>223</v>
      </c>
      <c r="H28" s="64">
        <f>Historicals!H34</f>
        <v>242</v>
      </c>
      <c r="I28" s="64">
        <f>Historicals!I34</f>
        <v>284</v>
      </c>
      <c r="J28" s="64"/>
      <c r="K28" s="3"/>
      <c r="L28" s="3"/>
      <c r="M28" s="3"/>
      <c r="N28" s="3"/>
      <c r="O28" s="3"/>
    </row>
    <row r="29" spans="1:16" x14ac:dyDescent="0.3">
      <c r="A29" s="73" t="s">
        <v>38</v>
      </c>
      <c r="B29" s="64">
        <f>Historicals!B32</f>
        <v>0</v>
      </c>
      <c r="C29" s="64">
        <f>Historicals!C32</f>
        <v>0</v>
      </c>
      <c r="D29" s="64">
        <f>Historicals!D32</f>
        <v>0</v>
      </c>
      <c r="E29" s="64">
        <f>Historicals!E32</f>
        <v>0</v>
      </c>
      <c r="F29" s="64">
        <f>Historicals!F32</f>
        <v>0</v>
      </c>
      <c r="G29" s="64">
        <f>Historicals!G32</f>
        <v>3097</v>
      </c>
      <c r="H29" s="64">
        <f>Historicals!H32</f>
        <v>3113</v>
      </c>
      <c r="I29" s="64">
        <f>Historicals!I32</f>
        <v>2926</v>
      </c>
      <c r="J29" s="64"/>
      <c r="K29" s="3"/>
      <c r="L29" s="3"/>
      <c r="M29" s="3"/>
      <c r="N29" s="3"/>
      <c r="O29" s="3"/>
    </row>
    <row r="30" spans="1:16" x14ac:dyDescent="0.3">
      <c r="A30" s="71" t="s">
        <v>163</v>
      </c>
      <c r="B30" s="64">
        <f>Historicals!B35</f>
        <v>2587</v>
      </c>
      <c r="C30" s="64">
        <f>Historicals!C35</f>
        <v>2439</v>
      </c>
      <c r="D30" s="64">
        <f>Historicals!D35</f>
        <v>2787</v>
      </c>
      <c r="E30" s="64">
        <f>Historicals!E35</f>
        <v>2509</v>
      </c>
      <c r="F30" s="64">
        <f>Historicals!F35</f>
        <v>2011</v>
      </c>
      <c r="G30" s="64">
        <f>Historicals!G35</f>
        <v>2326</v>
      </c>
      <c r="H30" s="64">
        <f>Historicals!H35</f>
        <v>2921</v>
      </c>
      <c r="I30" s="64">
        <f>Historicals!I35</f>
        <v>3821</v>
      </c>
      <c r="J30" s="64"/>
      <c r="K30" s="3"/>
      <c r="L30" s="3"/>
      <c r="M30" s="3"/>
      <c r="N30" s="3"/>
      <c r="O30" s="3"/>
    </row>
    <row r="31" spans="1:16" ht="15" thickBot="1" x14ac:dyDescent="0.35">
      <c r="A31" s="6" t="s">
        <v>164</v>
      </c>
      <c r="B31" s="7">
        <f t="shared" ref="B31:H31" si="7">SUM(B21:B23)+SUM(B25:B30)</f>
        <v>19466</v>
      </c>
      <c r="C31" s="7">
        <f t="shared" si="7"/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SUM(I21:I23)+SUM(I25:I30)</f>
        <v>36963</v>
      </c>
      <c r="J31" s="7"/>
      <c r="K31" s="7"/>
      <c r="L31" s="7"/>
      <c r="M31" s="7"/>
      <c r="N31" s="7"/>
      <c r="O31" s="7"/>
    </row>
    <row r="32" spans="1:16" ht="15" thickTop="1" x14ac:dyDescent="0.3">
      <c r="A32" t="s">
        <v>165</v>
      </c>
      <c r="B32" s="9">
        <f t="shared" ref="B32:H32" si="8">SUM(B33:B38)</f>
        <v>6759</v>
      </c>
      <c r="C32" s="9">
        <f t="shared" si="8"/>
        <v>6947</v>
      </c>
      <c r="D32" s="9">
        <f t="shared" si="8"/>
        <v>8804</v>
      </c>
      <c r="E32" s="9">
        <f t="shared" si="8"/>
        <v>10445</v>
      </c>
      <c r="F32" s="9">
        <f t="shared" si="8"/>
        <v>12065</v>
      </c>
      <c r="G32" s="9">
        <f t="shared" si="8"/>
        <v>21039</v>
      </c>
      <c r="H32" s="9">
        <f t="shared" si="8"/>
        <v>22137</v>
      </c>
      <c r="I32" s="9">
        <f>SUM(I33:I38)</f>
        <v>21682</v>
      </c>
      <c r="J32" s="9"/>
      <c r="K32" s="3" t="s">
        <v>210</v>
      </c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166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6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168</v>
      </c>
      <c r="B39" s="9">
        <f t="shared" ref="B39:H39" si="9">SUM(B40:B42)</f>
        <v>12707</v>
      </c>
      <c r="C39" s="9">
        <f t="shared" si="9"/>
        <v>12258</v>
      </c>
      <c r="D39" s="9">
        <f t="shared" si="9"/>
        <v>12407</v>
      </c>
      <c r="E39" s="9">
        <f t="shared" si="9"/>
        <v>9812</v>
      </c>
      <c r="F39" s="9">
        <f t="shared" si="9"/>
        <v>9040</v>
      </c>
      <c r="G39" s="9">
        <f t="shared" si="9"/>
        <v>8055</v>
      </c>
      <c r="H39" s="9">
        <f t="shared" si="9"/>
        <v>12767</v>
      </c>
      <c r="I39" s="9">
        <f>SUM(I40:I42)</f>
        <v>15281</v>
      </c>
      <c r="J39" s="9"/>
      <c r="K39" s="3"/>
      <c r="L39" s="3"/>
      <c r="M39" s="3"/>
      <c r="N39" s="3"/>
      <c r="O39" s="3"/>
    </row>
    <row r="40" spans="1:15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172</v>
      </c>
      <c r="B43" s="7">
        <f t="shared" ref="B43:H43" si="10">B32+B39</f>
        <v>19466</v>
      </c>
      <c r="C43" s="7">
        <f t="shared" si="10"/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>I32+I39</f>
        <v>36963</v>
      </c>
      <c r="J43" s="7"/>
      <c r="K43" s="7" t="s">
        <v>211</v>
      </c>
      <c r="L43" s="7"/>
      <c r="M43" s="7"/>
      <c r="N43" s="7"/>
      <c r="O43" s="7"/>
    </row>
    <row r="44" spans="1:15" ht="15" thickTop="1" x14ac:dyDescent="0.3">
      <c r="A44" s="47" t="s">
        <v>173</v>
      </c>
      <c r="B44" s="47">
        <f>B31-B43</f>
        <v>0</v>
      </c>
      <c r="C44" s="47">
        <f t="shared" ref="C44:H44" si="11">C31-C43</f>
        <v>0</v>
      </c>
      <c r="D44" s="47">
        <f t="shared" si="11"/>
        <v>0</v>
      </c>
      <c r="E44" s="47">
        <f t="shared" si="11"/>
        <v>0</v>
      </c>
      <c r="F44" s="47">
        <f t="shared" si="11"/>
        <v>0</v>
      </c>
      <c r="G44" s="47">
        <f t="shared" si="11"/>
        <v>0</v>
      </c>
      <c r="H44" s="47">
        <f t="shared" si="11"/>
        <v>0</v>
      </c>
      <c r="I44" s="47">
        <f>I31-I43</f>
        <v>0</v>
      </c>
      <c r="J44" s="47"/>
      <c r="K44" s="47"/>
      <c r="L44" s="47"/>
      <c r="M44" s="47"/>
      <c r="N44" s="47"/>
      <c r="O44" s="47"/>
    </row>
    <row r="45" spans="1:15" x14ac:dyDescent="0.3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4"/>
      <c r="K45" s="33"/>
      <c r="L45" s="33"/>
      <c r="M45" s="33"/>
      <c r="N45" s="33"/>
      <c r="O45" s="33"/>
    </row>
    <row r="46" spans="1:15" x14ac:dyDescent="0.3">
      <c r="A46" s="1" t="s">
        <v>133</v>
      </c>
      <c r="B46" s="63">
        <f t="shared" ref="B46:H46" si="12">B7</f>
        <v>4233</v>
      </c>
      <c r="C46" s="63">
        <f t="shared" si="12"/>
        <v>4642</v>
      </c>
      <c r="D46" s="63">
        <f t="shared" si="12"/>
        <v>4945</v>
      </c>
      <c r="E46" s="63">
        <f t="shared" si="12"/>
        <v>4379</v>
      </c>
      <c r="F46" s="63">
        <f t="shared" si="12"/>
        <v>4850</v>
      </c>
      <c r="G46" s="63">
        <f t="shared" si="12"/>
        <v>2976</v>
      </c>
      <c r="H46" s="63">
        <f t="shared" si="12"/>
        <v>6923</v>
      </c>
      <c r="I46" s="63">
        <f>I7</f>
        <v>6856</v>
      </c>
      <c r="J46" s="63"/>
      <c r="K46" s="9"/>
      <c r="L46" s="9"/>
      <c r="M46" s="9"/>
      <c r="N46" s="9"/>
      <c r="O46" s="9"/>
    </row>
    <row r="47" spans="1:15" x14ac:dyDescent="0.3">
      <c r="A47" t="s">
        <v>131</v>
      </c>
      <c r="B47" s="53">
        <f t="shared" ref="B47:H47" si="13">B6</f>
        <v>606</v>
      </c>
      <c r="C47" s="53">
        <f t="shared" si="13"/>
        <v>649</v>
      </c>
      <c r="D47" s="53">
        <f t="shared" si="13"/>
        <v>706</v>
      </c>
      <c r="E47" s="53">
        <f t="shared" si="13"/>
        <v>747</v>
      </c>
      <c r="F47" s="53">
        <f t="shared" si="13"/>
        <v>705</v>
      </c>
      <c r="G47" s="53">
        <f t="shared" si="13"/>
        <v>721</v>
      </c>
      <c r="H47" s="53">
        <f t="shared" si="13"/>
        <v>744</v>
      </c>
      <c r="I47" s="53">
        <f>I6</f>
        <v>717</v>
      </c>
      <c r="J47" s="53"/>
      <c r="K47" s="53"/>
      <c r="L47" s="53"/>
      <c r="M47" s="53"/>
      <c r="N47" s="53"/>
      <c r="O47" s="53"/>
    </row>
    <row r="48" spans="1:15" x14ac:dyDescent="0.3">
      <c r="A48" t="s">
        <v>175</v>
      </c>
      <c r="B48" s="64">
        <f>Historicals!B103</f>
        <v>703</v>
      </c>
      <c r="C48" s="64">
        <f>Historicals!C103</f>
        <v>748</v>
      </c>
      <c r="D48" s="64">
        <f>Historicals!D103</f>
        <v>1262</v>
      </c>
      <c r="E48" s="64">
        <f>Historicals!E103</f>
        <v>529</v>
      </c>
      <c r="F48" s="64">
        <f>Historicals!F103</f>
        <v>757</v>
      </c>
      <c r="G48" s="64">
        <f>Historicals!G103</f>
        <v>1028</v>
      </c>
      <c r="H48" s="64">
        <f>Historicals!H103</f>
        <v>1177</v>
      </c>
      <c r="I48" s="64">
        <f>Historicals!I103</f>
        <v>1231</v>
      </c>
      <c r="J48" s="64"/>
      <c r="K48" s="3"/>
      <c r="L48" s="3"/>
      <c r="M48" s="3"/>
      <c r="N48" s="3"/>
      <c r="O48" s="3"/>
    </row>
    <row r="49" spans="1:16" x14ac:dyDescent="0.3">
      <c r="A49" s="1" t="s">
        <v>176</v>
      </c>
      <c r="B49" s="63">
        <f t="shared" ref="B49:H49" si="14">B46-B48</f>
        <v>3530</v>
      </c>
      <c r="C49" s="63">
        <f t="shared" si="14"/>
        <v>3894</v>
      </c>
      <c r="D49" s="63">
        <f t="shared" si="14"/>
        <v>3683</v>
      </c>
      <c r="E49" s="63">
        <f t="shared" si="14"/>
        <v>3850</v>
      </c>
      <c r="F49" s="63">
        <f t="shared" si="14"/>
        <v>4093</v>
      </c>
      <c r="G49" s="63">
        <f t="shared" si="14"/>
        <v>1948</v>
      </c>
      <c r="H49" s="63">
        <f t="shared" si="14"/>
        <v>5746</v>
      </c>
      <c r="I49" s="63">
        <f>I46-I48</f>
        <v>5625</v>
      </c>
      <c r="J49" s="63"/>
      <c r="K49" s="9"/>
      <c r="L49" s="9"/>
      <c r="M49" s="9"/>
      <c r="N49" s="9"/>
      <c r="O49" s="9"/>
    </row>
    <row r="50" spans="1:16" x14ac:dyDescent="0.3">
      <c r="A50" t="s">
        <v>177</v>
      </c>
      <c r="B50" s="64">
        <f>Historicals!B102</f>
        <v>53</v>
      </c>
      <c r="C50" s="64">
        <f>Historicals!C102</f>
        <v>70</v>
      </c>
      <c r="D50" s="64">
        <f>Historicals!D102</f>
        <v>98</v>
      </c>
      <c r="E50" s="64">
        <f>Historicals!E102</f>
        <v>125</v>
      </c>
      <c r="F50" s="64">
        <f>Historicals!F102</f>
        <v>153</v>
      </c>
      <c r="G50" s="64">
        <f>Historicals!G102</f>
        <v>140</v>
      </c>
      <c r="H50" s="64">
        <f>Historicals!H102</f>
        <v>293</v>
      </c>
      <c r="I50" s="64">
        <f>Historicals!I102</f>
        <v>290</v>
      </c>
      <c r="J50" s="64"/>
      <c r="K50" s="3"/>
      <c r="L50" s="3"/>
      <c r="M50" s="3"/>
      <c r="N50" s="3"/>
      <c r="O50" s="3"/>
    </row>
    <row r="51" spans="1:16" x14ac:dyDescent="0.3">
      <c r="A51" t="s">
        <v>209</v>
      </c>
      <c r="B51" s="64">
        <f>5451-B23</f>
        <v>-113</v>
      </c>
      <c r="C51" s="64">
        <f t="shared" ref="C51:H51" si="15">B23-C23</f>
        <v>-324</v>
      </c>
      <c r="D51" s="64">
        <f t="shared" si="15"/>
        <v>-796</v>
      </c>
      <c r="E51" s="64">
        <f t="shared" si="15"/>
        <v>204</v>
      </c>
      <c r="F51" s="64">
        <f t="shared" si="15"/>
        <v>-802</v>
      </c>
      <c r="G51" s="64">
        <f t="shared" si="15"/>
        <v>-586</v>
      </c>
      <c r="H51" s="64">
        <f t="shared" si="15"/>
        <v>-613</v>
      </c>
      <c r="I51" s="64">
        <f>H23-I23</f>
        <v>-1248</v>
      </c>
      <c r="J51" s="64"/>
      <c r="K51" s="3"/>
      <c r="L51" s="3"/>
      <c r="M51" s="3"/>
      <c r="N51" s="3"/>
      <c r="O51" s="3"/>
    </row>
    <row r="52" spans="1:16" x14ac:dyDescent="0.3">
      <c r="A52" t="s">
        <v>134</v>
      </c>
      <c r="B52" s="64">
        <f>Historicals!B82</f>
        <v>-963</v>
      </c>
      <c r="C52" s="64">
        <f>Historicals!C82</f>
        <v>-1143</v>
      </c>
      <c r="D52" s="64">
        <f>Historicals!D82</f>
        <v>-1105</v>
      </c>
      <c r="E52" s="64">
        <f>Historicals!E82</f>
        <v>-1028</v>
      </c>
      <c r="F52" s="64">
        <f>Historicals!F82</f>
        <v>-1119</v>
      </c>
      <c r="G52" s="64">
        <f>Historicals!G82</f>
        <v>-1086</v>
      </c>
      <c r="H52" s="64">
        <f>Historicals!H82</f>
        <v>-695</v>
      </c>
      <c r="I52" s="64">
        <f>Historicals!I82</f>
        <v>-758</v>
      </c>
      <c r="J52" s="64"/>
      <c r="K52" s="3"/>
      <c r="L52" s="3"/>
      <c r="M52" s="3"/>
      <c r="N52" s="3"/>
      <c r="O52" s="3"/>
      <c r="P52" s="53"/>
    </row>
    <row r="53" spans="1:16" x14ac:dyDescent="0.3">
      <c r="A53" s="1" t="s">
        <v>178</v>
      </c>
      <c r="B53" s="63">
        <f>'Three Statements'!B55+'Three Statements'!B52</f>
        <v>2903</v>
      </c>
      <c r="C53" s="63">
        <f>C49+C47-C51-C52</f>
        <v>6010</v>
      </c>
      <c r="D53" s="63">
        <f t="shared" ref="D53:I53" si="16">D49+D47-D51-D52</f>
        <v>6290</v>
      </c>
      <c r="E53" s="63">
        <f t="shared" si="16"/>
        <v>5421</v>
      </c>
      <c r="F53" s="63">
        <f t="shared" si="16"/>
        <v>6719</v>
      </c>
      <c r="G53" s="63">
        <f t="shared" si="16"/>
        <v>4341</v>
      </c>
      <c r="H53" s="63">
        <f t="shared" si="16"/>
        <v>7798</v>
      </c>
      <c r="I53" s="63">
        <f t="shared" si="16"/>
        <v>8348</v>
      </c>
      <c r="J53" s="80" t="s">
        <v>212</v>
      </c>
      <c r="K53" s="9"/>
      <c r="L53" s="9"/>
      <c r="M53" s="9"/>
      <c r="N53" s="9"/>
      <c r="O53" s="9"/>
    </row>
    <row r="54" spans="1:16" x14ac:dyDescent="0.3">
      <c r="A54" t="s">
        <v>179</v>
      </c>
      <c r="B54" s="64">
        <f>Historicals!B67+Historicals!B68+Historicals!B70</f>
        <v>502</v>
      </c>
      <c r="C54" s="64">
        <f>Historicals!C76-'Three Statements'!C49-'Three Statements'!C50-'Three Statements'!C51</f>
        <v>-241</v>
      </c>
      <c r="D54" s="64">
        <f>Historicals!D76-'Three Statements'!D49-'Three Statements'!D50-'Three Statements'!D51</f>
        <v>861</v>
      </c>
      <c r="E54" s="64">
        <f>Historicals!E76-'Three Statements'!E49-'Three Statements'!E50-'Three Statements'!E51</f>
        <v>776</v>
      </c>
      <c r="F54" s="64">
        <f>Historicals!F76-'Three Statements'!F49-'Three Statements'!F50-'Three Statements'!F51</f>
        <v>2459</v>
      </c>
      <c r="G54" s="64">
        <f>Historicals!G76-'Three Statements'!G49-'Three Statements'!G50-'Three Statements'!G51</f>
        <v>983</v>
      </c>
      <c r="H54" s="64">
        <f>Historicals!H76-'Three Statements'!H49-'Three Statements'!H50-'Three Statements'!H51</f>
        <v>1231</v>
      </c>
      <c r="I54" s="64">
        <f>Historicals!I76-'Three Statements'!I49-'Three Statements'!I50-'Three Statements'!I51</f>
        <v>521</v>
      </c>
      <c r="J54" s="80" t="s">
        <v>216</v>
      </c>
      <c r="K54" s="3"/>
      <c r="L54" s="3"/>
      <c r="M54" s="3"/>
      <c r="N54" s="3"/>
      <c r="O54" s="3"/>
    </row>
    <row r="55" spans="1:16" x14ac:dyDescent="0.3">
      <c r="A55" s="65" t="s">
        <v>180</v>
      </c>
      <c r="B55" s="66">
        <f t="shared" ref="B55:H55" si="17">B49-B50+B51+B54</f>
        <v>3866</v>
      </c>
      <c r="C55" s="66">
        <f t="shared" si="17"/>
        <v>3259</v>
      </c>
      <c r="D55" s="66">
        <f t="shared" si="17"/>
        <v>3650</v>
      </c>
      <c r="E55" s="66">
        <f t="shared" si="17"/>
        <v>4705</v>
      </c>
      <c r="F55" s="66">
        <f t="shared" si="17"/>
        <v>5597</v>
      </c>
      <c r="G55" s="66">
        <f t="shared" ref="G55" si="18">G49-G50+G51+G54</f>
        <v>2205</v>
      </c>
      <c r="H55" s="66">
        <f t="shared" si="17"/>
        <v>6071</v>
      </c>
      <c r="I55" s="66">
        <f>I49-I50+I51+I54</f>
        <v>4608</v>
      </c>
      <c r="J55" s="79" t="s">
        <v>217</v>
      </c>
      <c r="K55" s="25"/>
      <c r="L55" s="25"/>
      <c r="M55" s="25"/>
      <c r="N55" s="25"/>
      <c r="O55" s="25"/>
    </row>
    <row r="56" spans="1:16" x14ac:dyDescent="0.3">
      <c r="A56" t="s">
        <v>181</v>
      </c>
      <c r="B56" s="64"/>
      <c r="C56" s="64"/>
      <c r="D56" s="64"/>
      <c r="E56" s="64"/>
      <c r="F56" s="64"/>
      <c r="G56" s="64"/>
      <c r="H56" s="64"/>
      <c r="I56" s="64"/>
      <c r="J56" s="80"/>
      <c r="K56" s="3"/>
      <c r="L56" s="3"/>
      <c r="M56" s="3"/>
      <c r="N56" s="3"/>
      <c r="O56" s="3"/>
    </row>
    <row r="57" spans="1:16" x14ac:dyDescent="0.3">
      <c r="A57" t="s">
        <v>182</v>
      </c>
      <c r="B57" s="64">
        <f>Historicals!B85-'Three Statements'!B52</f>
        <v>788</v>
      </c>
      <c r="C57" s="64">
        <f>Historicals!C85-'Three Statements'!C52</f>
        <v>109</v>
      </c>
      <c r="D57" s="64">
        <f>Historicals!D85-'Three Statements'!D52</f>
        <v>97</v>
      </c>
      <c r="E57" s="64">
        <f>Historicals!E85-'Three Statements'!E52</f>
        <v>1304</v>
      </c>
      <c r="F57" s="64">
        <f>Historicals!F85-'Three Statements'!F52</f>
        <v>855</v>
      </c>
      <c r="G57" s="64">
        <f>Historicals!G85-'Three Statements'!G52</f>
        <v>58</v>
      </c>
      <c r="H57" s="64">
        <f>Historicals!H85-'Three Statements'!H52</f>
        <v>-3105</v>
      </c>
      <c r="I57" s="64">
        <f>Historicals!I85-'Three Statements'!I52</f>
        <v>-766</v>
      </c>
      <c r="J57" s="80"/>
      <c r="K57" s="3"/>
      <c r="L57" s="3"/>
      <c r="M57" s="3"/>
      <c r="N57" s="3"/>
      <c r="O57" s="3"/>
    </row>
    <row r="58" spans="1:16" x14ac:dyDescent="0.3">
      <c r="A58" s="65" t="s">
        <v>183</v>
      </c>
      <c r="B58" s="66">
        <f>B56+B57+B52</f>
        <v>-175</v>
      </c>
      <c r="C58" s="66">
        <f t="shared" ref="C58:I58" si="19">C56+C57+C52</f>
        <v>-1034</v>
      </c>
      <c r="D58" s="66">
        <f t="shared" si="19"/>
        <v>-1008</v>
      </c>
      <c r="E58" s="66">
        <f t="shared" si="19"/>
        <v>276</v>
      </c>
      <c r="F58" s="66">
        <f t="shared" si="19"/>
        <v>-264</v>
      </c>
      <c r="G58" s="66">
        <f t="shared" si="19"/>
        <v>-1028</v>
      </c>
      <c r="H58" s="66">
        <f t="shared" si="19"/>
        <v>-3800</v>
      </c>
      <c r="I58" s="66">
        <f t="shared" si="19"/>
        <v>-1524</v>
      </c>
      <c r="J58" s="79"/>
      <c r="K58" s="25"/>
      <c r="L58" s="25"/>
      <c r="M58" s="25"/>
      <c r="N58" s="25"/>
      <c r="O58" s="25"/>
    </row>
    <row r="59" spans="1:16" x14ac:dyDescent="0.3">
      <c r="A59" t="s">
        <v>184</v>
      </c>
      <c r="B59" s="64">
        <f>Historicals!B91+Historicals!B90</f>
        <v>-2020</v>
      </c>
      <c r="C59" s="64">
        <f>Historicals!C91+Historicals!C90</f>
        <v>-2731</v>
      </c>
      <c r="D59" s="64">
        <f>Historicals!D91+Historicals!D90</f>
        <v>-2734</v>
      </c>
      <c r="E59" s="64">
        <f>Historicals!E91+Historicals!E90</f>
        <v>-3521</v>
      </c>
      <c r="F59" s="64">
        <f>Historicals!F91+Historicals!F90</f>
        <v>-3586</v>
      </c>
      <c r="G59" s="64">
        <f>Historicals!G91+Historicals!G90</f>
        <v>-2182</v>
      </c>
      <c r="H59" s="64">
        <f>Historicals!H91+Historicals!H90</f>
        <v>564</v>
      </c>
      <c r="I59" s="64">
        <f>Historicals!I91+Historicals!I90</f>
        <v>-2863</v>
      </c>
      <c r="J59" s="80"/>
      <c r="K59" s="3"/>
      <c r="L59" s="3"/>
      <c r="M59" s="3"/>
      <c r="N59" s="3"/>
      <c r="O59" s="3"/>
    </row>
    <row r="60" spans="1:16" x14ac:dyDescent="0.3">
      <c r="A60" s="61" t="s">
        <v>128</v>
      </c>
      <c r="B60" s="67" t="str">
        <f>+IFERROR(B59/A59-1,"nm")</f>
        <v>nm</v>
      </c>
      <c r="C60" s="67">
        <f t="shared" ref="C60:I60" si="20">+IFERROR(-C59/-B59-1,"nm")</f>
        <v>0.35198019801980207</v>
      </c>
      <c r="D60" s="67">
        <f t="shared" si="20"/>
        <v>1.0984987184181616E-3</v>
      </c>
      <c r="E60" s="67">
        <f t="shared" si="20"/>
        <v>0.28785662033650339</v>
      </c>
      <c r="F60" s="67">
        <f t="shared" si="20"/>
        <v>1.8460664583924924E-2</v>
      </c>
      <c r="G60" s="67">
        <f t="shared" si="20"/>
        <v>-0.39152258784160621</v>
      </c>
      <c r="H60" s="67">
        <f t="shared" si="20"/>
        <v>-1.2584784601283228</v>
      </c>
      <c r="I60" s="67">
        <f t="shared" si="20"/>
        <v>-6.0762411347517729</v>
      </c>
      <c r="J60" s="67"/>
      <c r="K60" s="51"/>
      <c r="L60" s="51"/>
      <c r="M60" s="51"/>
      <c r="N60" s="51"/>
      <c r="O60" s="51"/>
    </row>
    <row r="61" spans="1:16" x14ac:dyDescent="0.3">
      <c r="A61" t="s">
        <v>185</v>
      </c>
      <c r="B61" s="64">
        <f>Historicals!B92</f>
        <v>-899</v>
      </c>
      <c r="C61" s="64">
        <f>Historicals!C92</f>
        <v>-1022</v>
      </c>
      <c r="D61" s="64">
        <f>Historicals!D92</f>
        <v>-1133</v>
      </c>
      <c r="E61" s="64">
        <f>Historicals!E92</f>
        <v>-1243</v>
      </c>
      <c r="F61" s="64">
        <f>Historicals!F92</f>
        <v>-1332</v>
      </c>
      <c r="G61" s="64">
        <f>Historicals!G92</f>
        <v>-1452</v>
      </c>
      <c r="H61" s="64">
        <f>Historicals!H92</f>
        <v>-1638</v>
      </c>
      <c r="I61" s="64">
        <f>Historicals!I92</f>
        <v>-1837</v>
      </c>
      <c r="J61" s="80"/>
      <c r="K61" s="3"/>
      <c r="L61" s="3"/>
      <c r="M61" s="3"/>
      <c r="N61" s="3"/>
      <c r="O61" s="3"/>
    </row>
    <row r="62" spans="1:16" x14ac:dyDescent="0.3">
      <c r="A62" t="s">
        <v>186</v>
      </c>
      <c r="B62" s="64">
        <f>Historicals!B88+Historicals!B89</f>
        <v>-63</v>
      </c>
      <c r="C62" s="64">
        <f>Historicals!C88+Historicals!C89</f>
        <v>-67</v>
      </c>
      <c r="D62" s="64">
        <f>Historicals!D88+Historicals!D89</f>
        <v>327</v>
      </c>
      <c r="E62" s="64">
        <f>Historicals!E88+Historicals!E89</f>
        <v>13</v>
      </c>
      <c r="F62" s="64">
        <f>Historicals!F88+Historicals!F89</f>
        <v>-325</v>
      </c>
      <c r="G62" s="64">
        <f>Historicals!G88+Historicals!G89</f>
        <v>49</v>
      </c>
      <c r="H62" s="64">
        <f>Historicals!H88+Historicals!H89</f>
        <v>-249</v>
      </c>
      <c r="I62" s="64">
        <f>Historicals!I88+Historicals!I89</f>
        <v>15</v>
      </c>
      <c r="J62" s="80" t="s">
        <v>213</v>
      </c>
      <c r="K62" s="3"/>
      <c r="L62" s="3"/>
      <c r="M62" s="3"/>
      <c r="N62" s="3"/>
      <c r="O62" s="3"/>
    </row>
    <row r="63" spans="1:16" x14ac:dyDescent="0.3">
      <c r="A63" t="s">
        <v>187</v>
      </c>
      <c r="B63" s="64">
        <f>Historicals!B94-B59-B61-B62</f>
        <v>192</v>
      </c>
      <c r="C63" s="64">
        <f>Historicals!C94-C59-C61-C62</f>
        <v>846</v>
      </c>
      <c r="D63" s="64">
        <f>Historicals!D94-D59-D61-D62</f>
        <v>1392</v>
      </c>
      <c r="E63" s="64">
        <f>Historicals!E94-E59-E61-E62</f>
        <v>-84</v>
      </c>
      <c r="F63" s="64">
        <f>Historicals!F94-F59-F61-F62</f>
        <v>-50</v>
      </c>
      <c r="G63" s="64">
        <f>Historicals!G94-G59-G61-G62</f>
        <v>6076</v>
      </c>
      <c r="H63" s="64">
        <f>Historicals!H94-H59-H61-H62</f>
        <v>-136</v>
      </c>
      <c r="I63" s="64">
        <f>Historicals!I94-I59-I61-I62</f>
        <v>-151</v>
      </c>
      <c r="J63" s="80" t="s">
        <v>215</v>
      </c>
      <c r="K63" s="3"/>
      <c r="L63" s="3"/>
      <c r="M63" s="3"/>
      <c r="N63" s="3"/>
      <c r="O63" s="3"/>
    </row>
    <row r="64" spans="1:16" x14ac:dyDescent="0.3">
      <c r="A64" s="65" t="s">
        <v>188</v>
      </c>
      <c r="B64" s="66">
        <f>B59+B61+B62+B63</f>
        <v>-2790</v>
      </c>
      <c r="C64" s="66">
        <f t="shared" ref="C64:I64" si="21">C59+C61+C62+C63</f>
        <v>-2974</v>
      </c>
      <c r="D64" s="66">
        <f t="shared" si="21"/>
        <v>-2148</v>
      </c>
      <c r="E64" s="66">
        <f t="shared" si="21"/>
        <v>-4835</v>
      </c>
      <c r="F64" s="66">
        <f t="shared" si="21"/>
        <v>-5293</v>
      </c>
      <c r="G64" s="66">
        <f t="shared" si="21"/>
        <v>2491</v>
      </c>
      <c r="H64" s="66">
        <f t="shared" si="21"/>
        <v>-1459</v>
      </c>
      <c r="I64" s="66">
        <f t="shared" si="21"/>
        <v>-4836</v>
      </c>
      <c r="J64" s="79" t="s">
        <v>214</v>
      </c>
      <c r="K64" s="25"/>
      <c r="L64" s="25"/>
      <c r="M64" s="25"/>
      <c r="N64" s="25"/>
      <c r="O64" s="25"/>
    </row>
    <row r="65" spans="1:15" x14ac:dyDescent="0.3">
      <c r="A65" t="s">
        <v>189</v>
      </c>
      <c r="B65" s="64">
        <f>Historicals!B95</f>
        <v>-83</v>
      </c>
      <c r="C65" s="64">
        <f>Historicals!C95</f>
        <v>-105</v>
      </c>
      <c r="D65" s="64">
        <f>Historicals!D95</f>
        <v>-20</v>
      </c>
      <c r="E65" s="64">
        <f>Historicals!E95</f>
        <v>45</v>
      </c>
      <c r="F65" s="64">
        <f>Historicals!F95</f>
        <v>-129</v>
      </c>
      <c r="G65" s="64">
        <f>Historicals!G95</f>
        <v>-66</v>
      </c>
      <c r="H65" s="64">
        <f>Historicals!H95</f>
        <v>143</v>
      </c>
      <c r="I65" s="64">
        <f>Historicals!I95</f>
        <v>-143</v>
      </c>
      <c r="J65" s="80"/>
      <c r="K65" s="3"/>
      <c r="L65" s="3"/>
      <c r="M65" s="3"/>
      <c r="N65" s="3"/>
      <c r="O65" s="3"/>
    </row>
    <row r="66" spans="1:15" x14ac:dyDescent="0.3">
      <c r="A66" s="65" t="s">
        <v>190</v>
      </c>
      <c r="B66" s="66">
        <f t="shared" ref="B66:H66" si="22">B55+B58+B64+B65</f>
        <v>818</v>
      </c>
      <c r="C66" s="66">
        <f t="shared" si="22"/>
        <v>-854</v>
      </c>
      <c r="D66" s="66">
        <f t="shared" si="22"/>
        <v>474</v>
      </c>
      <c r="E66" s="66">
        <f t="shared" si="22"/>
        <v>191</v>
      </c>
      <c r="F66" s="66">
        <f t="shared" si="22"/>
        <v>-89</v>
      </c>
      <c r="G66" s="66">
        <f t="shared" si="22"/>
        <v>3602</v>
      </c>
      <c r="H66" s="66">
        <f t="shared" si="22"/>
        <v>955</v>
      </c>
      <c r="I66" s="66">
        <f>I55+I58+I64+I65</f>
        <v>-1895</v>
      </c>
      <c r="J66" s="79"/>
      <c r="K66" s="25"/>
      <c r="L66" s="25"/>
      <c r="M66" s="25"/>
      <c r="N66" s="25"/>
      <c r="O66" s="25"/>
    </row>
    <row r="67" spans="1:15" x14ac:dyDescent="0.3">
      <c r="A67" t="s">
        <v>191</v>
      </c>
      <c r="B67" s="64">
        <f>Historicals!B97</f>
        <v>2220</v>
      </c>
      <c r="C67" s="64">
        <f t="shared" ref="C67:H67" si="23">B68</f>
        <v>3852</v>
      </c>
      <c r="D67" s="64">
        <f t="shared" si="23"/>
        <v>3138</v>
      </c>
      <c r="E67" s="64">
        <f t="shared" si="23"/>
        <v>3808</v>
      </c>
      <c r="F67" s="64">
        <f t="shared" si="23"/>
        <v>4249</v>
      </c>
      <c r="G67" s="64">
        <f t="shared" si="23"/>
        <v>4466</v>
      </c>
      <c r="H67" s="64">
        <f t="shared" si="23"/>
        <v>8348</v>
      </c>
      <c r="I67" s="64">
        <f>H68</f>
        <v>9889</v>
      </c>
      <c r="J67" s="80"/>
      <c r="K67" s="3"/>
      <c r="L67" s="3"/>
      <c r="M67" s="3"/>
      <c r="N67" s="3"/>
      <c r="O67" s="3"/>
    </row>
    <row r="68" spans="1:15" ht="15" thickBot="1" x14ac:dyDescent="0.35">
      <c r="A68" s="6" t="s">
        <v>192</v>
      </c>
      <c r="B68" s="68">
        <f>Historicals!B98</f>
        <v>3852</v>
      </c>
      <c r="C68" s="68">
        <f>Historicals!C98</f>
        <v>3138</v>
      </c>
      <c r="D68" s="68">
        <f>Historicals!D98</f>
        <v>3808</v>
      </c>
      <c r="E68" s="68">
        <f>Historicals!E98</f>
        <v>4249</v>
      </c>
      <c r="F68" s="68">
        <f>Historicals!F98</f>
        <v>4466</v>
      </c>
      <c r="G68" s="68">
        <f>Historicals!G98</f>
        <v>8348</v>
      </c>
      <c r="H68" s="68">
        <f>Historicals!H98</f>
        <v>9889</v>
      </c>
      <c r="I68" s="68">
        <f>Historicals!I98</f>
        <v>8574</v>
      </c>
      <c r="J68" s="81" t="s">
        <v>218</v>
      </c>
      <c r="K68" s="7"/>
      <c r="L68" s="7"/>
      <c r="M68" s="7"/>
      <c r="N68" s="7"/>
      <c r="O68" s="7"/>
    </row>
    <row r="69" spans="1:15" ht="15" thickTop="1" x14ac:dyDescent="0.3">
      <c r="A69" s="77" t="s">
        <v>173</v>
      </c>
      <c r="B69" s="78">
        <f>+B68-B21</f>
        <v>0</v>
      </c>
      <c r="C69" s="78">
        <f t="shared" ref="C69:I69" si="24">+C68-C21</f>
        <v>0</v>
      </c>
      <c r="D69" s="78">
        <f t="shared" si="24"/>
        <v>0</v>
      </c>
      <c r="E69" s="78">
        <f t="shared" si="24"/>
        <v>0</v>
      </c>
      <c r="F69" s="78">
        <f t="shared" si="24"/>
        <v>0</v>
      </c>
      <c r="G69" s="78">
        <f t="shared" si="24"/>
        <v>0</v>
      </c>
      <c r="H69" s="78">
        <f t="shared" si="24"/>
        <v>0</v>
      </c>
      <c r="I69" s="78">
        <f t="shared" si="24"/>
        <v>0</v>
      </c>
      <c r="J69" s="78"/>
      <c r="K69" s="35"/>
      <c r="L69" s="35"/>
      <c r="M69" s="35"/>
      <c r="N69" s="35"/>
      <c r="O69" s="35"/>
    </row>
    <row r="70" spans="1:15" x14ac:dyDescent="0.3">
      <c r="A70" s="1" t="s">
        <v>193</v>
      </c>
      <c r="B70" s="42">
        <f t="shared" ref="B70:H70" si="25">(B33+B37)-(B22+23)</f>
        <v>-1988</v>
      </c>
      <c r="C70" s="42">
        <f t="shared" si="25"/>
        <v>-2298</v>
      </c>
      <c r="D70" s="42">
        <f t="shared" si="25"/>
        <v>-2388</v>
      </c>
      <c r="E70" s="42">
        <f t="shared" si="25"/>
        <v>-1013</v>
      </c>
      <c r="F70" s="42">
        <f t="shared" si="25"/>
        <v>-214</v>
      </c>
      <c r="G70" s="42">
        <f t="shared" si="25"/>
        <v>2454</v>
      </c>
      <c r="H70" s="42">
        <f t="shared" si="25"/>
        <v>-679</v>
      </c>
      <c r="I70" s="42">
        <f>(I33+I37)-(I22+23)</f>
        <v>-1169</v>
      </c>
      <c r="J70" s="42"/>
      <c r="K70" s="42"/>
      <c r="L70" s="42"/>
      <c r="M70" s="42"/>
      <c r="N70" s="42"/>
      <c r="O70" s="4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2023-07-20T10:29:45Z</cp:lastPrinted>
  <dcterms:created xsi:type="dcterms:W3CDTF">2020-05-20T17:26:08Z</dcterms:created>
  <dcterms:modified xsi:type="dcterms:W3CDTF">2023-07-21T19:07:17Z</dcterms:modified>
</cp:coreProperties>
</file>