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drapi\Desktop\QCP\Task 12\"/>
    </mc:Choice>
  </mc:AlternateContent>
  <xr:revisionPtr revIDLastSave="0" documentId="13_ncr:1_{A79DB148-B1A0-4389-B2FA-9BE5450A896D}" xr6:coauthVersionLast="47" xr6:coauthVersionMax="47" xr10:uidLastSave="{00000000-0000-0000-0000-000000000000}"/>
  <bookViews>
    <workbookView xWindow="-90" yWindow="0" windowWidth="25780" windowHeight="13770" activeTab="2"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3" l="1"/>
  <c r="T43" i="3"/>
  <c r="T55" i="3"/>
  <c r="T61" i="3"/>
  <c r="T67" i="3"/>
  <c r="T73" i="3"/>
  <c r="S65" i="3"/>
  <c r="S5" i="3"/>
  <c r="J5" i="3"/>
  <c r="J8" i="3"/>
  <c r="J11" i="3"/>
  <c r="S6" i="3"/>
  <c r="K151" i="3"/>
  <c r="L151" i="3" s="1"/>
  <c r="M151" i="3" s="1"/>
  <c r="N151" i="3" s="1"/>
  <c r="J151" i="3"/>
  <c r="J198" i="3"/>
  <c r="K198" i="3" s="1"/>
  <c r="L198" i="3" s="1"/>
  <c r="M198" i="3" s="1"/>
  <c r="N198" i="3" s="1"/>
  <c r="J170" i="3"/>
  <c r="J167" i="3"/>
  <c r="J161" i="3"/>
  <c r="J157" i="3"/>
  <c r="K157" i="3"/>
  <c r="L157" i="3"/>
  <c r="M157" i="3"/>
  <c r="N157" i="3"/>
  <c r="K161" i="3"/>
  <c r="L161" i="3" s="1"/>
  <c r="M161" i="3" s="1"/>
  <c r="N161" i="3" s="1"/>
  <c r="K167" i="3"/>
  <c r="K170" i="3"/>
  <c r="L170" i="3"/>
  <c r="M170" i="3"/>
  <c r="N170" i="3"/>
  <c r="I213" i="3"/>
  <c r="T45" i="3"/>
  <c r="T33" i="3"/>
  <c r="T21" i="3"/>
  <c r="T9" i="3"/>
  <c r="T5" i="3"/>
  <c r="T19" i="3"/>
  <c r="L167" i="3" l="1"/>
  <c r="T31" i="3"/>
  <c r="T26" i="3"/>
  <c r="T30" i="3"/>
  <c r="U32" i="3"/>
  <c r="T38" i="3"/>
  <c r="U44" i="3"/>
  <c r="T48" i="3"/>
  <c r="B189" i="1"/>
  <c r="C189" i="1"/>
  <c r="D189" i="1"/>
  <c r="E189" i="1"/>
  <c r="F189" i="1"/>
  <c r="G189" i="1"/>
  <c r="H189" i="1"/>
  <c r="B187" i="1"/>
  <c r="C187" i="1"/>
  <c r="D187" i="1"/>
  <c r="E187" i="1"/>
  <c r="F187" i="1"/>
  <c r="G187" i="1"/>
  <c r="H187" i="1"/>
  <c r="I189" i="1"/>
  <c r="I187" i="1"/>
  <c r="I54" i="3"/>
  <c r="I56" i="3"/>
  <c r="T24" i="3" s="1"/>
  <c r="I58" i="3"/>
  <c r="I60" i="3"/>
  <c r="I62" i="3"/>
  <c r="I66" i="3"/>
  <c r="I71" i="3"/>
  <c r="I75" i="3"/>
  <c r="I78" i="3"/>
  <c r="I81" i="3"/>
  <c r="H213" i="3"/>
  <c r="H215" i="3" s="1"/>
  <c r="G213" i="3"/>
  <c r="G215" i="3" s="1"/>
  <c r="F213" i="3"/>
  <c r="F215" i="3" s="1"/>
  <c r="E213" i="3"/>
  <c r="E215" i="3" s="1"/>
  <c r="D213" i="3"/>
  <c r="C213" i="3"/>
  <c r="B213" i="3"/>
  <c r="I207" i="3"/>
  <c r="H207" i="3"/>
  <c r="H209" i="3" s="1"/>
  <c r="G207" i="3"/>
  <c r="G209" i="3" s="1"/>
  <c r="F207" i="3"/>
  <c r="F209" i="3" s="1"/>
  <c r="E207" i="3"/>
  <c r="D207" i="3"/>
  <c r="C207" i="3"/>
  <c r="B207" i="3"/>
  <c r="I203" i="3"/>
  <c r="H203" i="3"/>
  <c r="H205" i="3" s="1"/>
  <c r="G203" i="3"/>
  <c r="F203" i="3"/>
  <c r="F205" i="3" s="1"/>
  <c r="E203" i="3"/>
  <c r="E205" i="3" s="1"/>
  <c r="D203" i="3"/>
  <c r="D205" i="3" s="1"/>
  <c r="C203" i="3"/>
  <c r="C205" i="3" s="1"/>
  <c r="B203" i="3"/>
  <c r="I198" i="3"/>
  <c r="H198" i="3"/>
  <c r="G198" i="3"/>
  <c r="F198" i="3"/>
  <c r="E198" i="3"/>
  <c r="D198" i="3"/>
  <c r="C198" i="3"/>
  <c r="B198" i="3"/>
  <c r="I194" i="3"/>
  <c r="H194" i="3"/>
  <c r="G194" i="3"/>
  <c r="F194" i="3"/>
  <c r="E194" i="3"/>
  <c r="D194" i="3"/>
  <c r="C194" i="3"/>
  <c r="B194" i="3"/>
  <c r="I191" i="3"/>
  <c r="H191" i="3"/>
  <c r="G191" i="3"/>
  <c r="F191" i="3"/>
  <c r="E191" i="3"/>
  <c r="D191" i="3"/>
  <c r="C191" i="3"/>
  <c r="B191" i="3"/>
  <c r="I188" i="3"/>
  <c r="I190" i="3" s="1"/>
  <c r="H188" i="3"/>
  <c r="G188" i="3"/>
  <c r="F188" i="3"/>
  <c r="E188" i="3"/>
  <c r="D188" i="3"/>
  <c r="C188" i="3"/>
  <c r="B188" i="3"/>
  <c r="I184" i="3"/>
  <c r="H184" i="3"/>
  <c r="G184" i="3"/>
  <c r="F184" i="3"/>
  <c r="E184" i="3"/>
  <c r="D184" i="3"/>
  <c r="C184" i="3"/>
  <c r="B184" i="3"/>
  <c r="I179" i="3"/>
  <c r="H179" i="3"/>
  <c r="G179" i="3"/>
  <c r="F179" i="3"/>
  <c r="E179" i="3"/>
  <c r="D179" i="3"/>
  <c r="C179" i="3"/>
  <c r="B179" i="3"/>
  <c r="D177" i="3"/>
  <c r="D176" i="3"/>
  <c r="C176" i="3"/>
  <c r="D175" i="3"/>
  <c r="C175" i="3"/>
  <c r="B175" i="3"/>
  <c r="D174" i="3"/>
  <c r="D173" i="3" s="1"/>
  <c r="C174" i="3"/>
  <c r="C173" i="3" s="1"/>
  <c r="I168" i="3"/>
  <c r="H168" i="3"/>
  <c r="G168" i="3"/>
  <c r="F168" i="3"/>
  <c r="E168" i="3"/>
  <c r="D168" i="3"/>
  <c r="C168" i="3"/>
  <c r="B168" i="3"/>
  <c r="I165" i="3"/>
  <c r="H165" i="3"/>
  <c r="G165" i="3"/>
  <c r="F165" i="3"/>
  <c r="E165" i="3"/>
  <c r="D165" i="3"/>
  <c r="C165" i="3"/>
  <c r="B165" i="3"/>
  <c r="I162" i="3"/>
  <c r="T60" i="3" s="1"/>
  <c r="U60" i="3" s="1"/>
  <c r="H162" i="3"/>
  <c r="G162" i="3"/>
  <c r="F162" i="3"/>
  <c r="E162" i="3"/>
  <c r="D162" i="3"/>
  <c r="C162" i="3"/>
  <c r="B162" i="3"/>
  <c r="I158" i="3"/>
  <c r="H158" i="3"/>
  <c r="G158" i="3"/>
  <c r="F158" i="3"/>
  <c r="E158" i="3"/>
  <c r="D158" i="3"/>
  <c r="C158" i="3"/>
  <c r="B158" i="3"/>
  <c r="I153" i="3"/>
  <c r="H153" i="3"/>
  <c r="G153" i="3"/>
  <c r="F153" i="3"/>
  <c r="E153" i="3"/>
  <c r="D153" i="3"/>
  <c r="C153" i="3"/>
  <c r="B153" i="3"/>
  <c r="I151" i="3"/>
  <c r="H151" i="3"/>
  <c r="G151" i="3"/>
  <c r="F151" i="3"/>
  <c r="E151" i="3"/>
  <c r="D151" i="3"/>
  <c r="C151" i="3"/>
  <c r="B151" i="3"/>
  <c r="I147" i="3"/>
  <c r="H147" i="3"/>
  <c r="G147" i="3"/>
  <c r="F147" i="3"/>
  <c r="E147" i="3"/>
  <c r="D147" i="3"/>
  <c r="C147" i="3"/>
  <c r="B147" i="3"/>
  <c r="I144" i="3"/>
  <c r="H144" i="3"/>
  <c r="G144" i="3"/>
  <c r="F144" i="3"/>
  <c r="E144" i="3"/>
  <c r="D144" i="3"/>
  <c r="C144" i="3"/>
  <c r="B144" i="3"/>
  <c r="I141" i="3"/>
  <c r="T54" i="3" s="1"/>
  <c r="H141" i="3"/>
  <c r="G141" i="3"/>
  <c r="F141" i="3"/>
  <c r="E141" i="3"/>
  <c r="D141" i="3"/>
  <c r="C141" i="3"/>
  <c r="B141" i="3"/>
  <c r="I137" i="3"/>
  <c r="H137" i="3"/>
  <c r="G137" i="3"/>
  <c r="F137" i="3"/>
  <c r="E137" i="3"/>
  <c r="D137" i="3"/>
  <c r="C137" i="3"/>
  <c r="B137" i="3"/>
  <c r="I132" i="3"/>
  <c r="H132" i="3"/>
  <c r="G132" i="3"/>
  <c r="F132" i="3"/>
  <c r="E132" i="3"/>
  <c r="D132" i="3"/>
  <c r="C132" i="3"/>
  <c r="B132" i="3"/>
  <c r="I128" i="3"/>
  <c r="H128" i="3"/>
  <c r="G128" i="3"/>
  <c r="F128" i="3"/>
  <c r="E128" i="3"/>
  <c r="D128" i="3"/>
  <c r="C128" i="3"/>
  <c r="B128" i="3"/>
  <c r="I126" i="3"/>
  <c r="T50" i="3" s="1"/>
  <c r="H126" i="3"/>
  <c r="G126" i="3"/>
  <c r="F126" i="3"/>
  <c r="E126" i="3"/>
  <c r="D126" i="3"/>
  <c r="C126" i="3"/>
  <c r="B126" i="3"/>
  <c r="I124" i="3"/>
  <c r="H124" i="3"/>
  <c r="G124" i="3"/>
  <c r="F124" i="3"/>
  <c r="E124" i="3"/>
  <c r="D124" i="3"/>
  <c r="C124" i="3"/>
  <c r="B124" i="3"/>
  <c r="I122" i="3"/>
  <c r="H122" i="3"/>
  <c r="G122" i="3"/>
  <c r="F122" i="3"/>
  <c r="E122" i="3"/>
  <c r="D122" i="3"/>
  <c r="C122" i="3"/>
  <c r="B122" i="3"/>
  <c r="I120" i="3"/>
  <c r="H120" i="3"/>
  <c r="G120" i="3"/>
  <c r="F120" i="3"/>
  <c r="E120" i="3"/>
  <c r="D120" i="3"/>
  <c r="C120" i="3"/>
  <c r="B120" i="3"/>
  <c r="I114" i="3"/>
  <c r="H114" i="3"/>
  <c r="G114" i="3"/>
  <c r="F114" i="3"/>
  <c r="E114" i="3"/>
  <c r="D114" i="3"/>
  <c r="C114" i="3"/>
  <c r="B114" i="3"/>
  <c r="I111" i="3"/>
  <c r="H111" i="3"/>
  <c r="G111" i="3"/>
  <c r="F111" i="3"/>
  <c r="E111" i="3"/>
  <c r="D111" i="3"/>
  <c r="C111" i="3"/>
  <c r="B111" i="3"/>
  <c r="I108" i="3"/>
  <c r="T42" i="3" s="1"/>
  <c r="H108" i="3"/>
  <c r="G108" i="3"/>
  <c r="F108" i="3"/>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H93" i="3"/>
  <c r="G93" i="3"/>
  <c r="F93" i="3"/>
  <c r="E93" i="3"/>
  <c r="D93" i="3"/>
  <c r="C93" i="3"/>
  <c r="B93" i="3"/>
  <c r="I91" i="3"/>
  <c r="H91" i="3"/>
  <c r="G91" i="3"/>
  <c r="F91" i="3"/>
  <c r="E91" i="3"/>
  <c r="D91" i="3"/>
  <c r="C91" i="3"/>
  <c r="B91" i="3"/>
  <c r="I89" i="3"/>
  <c r="T36" i="3" s="1"/>
  <c r="H89" i="3"/>
  <c r="G89" i="3"/>
  <c r="F89" i="3"/>
  <c r="E89" i="3"/>
  <c r="D89" i="3"/>
  <c r="C89" i="3"/>
  <c r="B89" i="3"/>
  <c r="I87" i="3"/>
  <c r="H87" i="3"/>
  <c r="G87" i="3"/>
  <c r="F87" i="3"/>
  <c r="E87" i="3"/>
  <c r="D87" i="3"/>
  <c r="C87" i="3"/>
  <c r="B87" i="3"/>
  <c r="H81" i="3"/>
  <c r="G81" i="3"/>
  <c r="F81" i="3"/>
  <c r="E81" i="3"/>
  <c r="D81" i="3"/>
  <c r="C81" i="3"/>
  <c r="B81" i="3"/>
  <c r="H78" i="3"/>
  <c r="G78" i="3"/>
  <c r="F78" i="3"/>
  <c r="E78" i="3"/>
  <c r="D78" i="3"/>
  <c r="C78" i="3"/>
  <c r="B78" i="3"/>
  <c r="H75" i="3"/>
  <c r="G75" i="3"/>
  <c r="F75" i="3"/>
  <c r="E75" i="3"/>
  <c r="D75" i="3"/>
  <c r="C75" i="3"/>
  <c r="B75" i="3"/>
  <c r="H71" i="3"/>
  <c r="G71" i="3"/>
  <c r="F71" i="3"/>
  <c r="E71" i="3"/>
  <c r="D71" i="3"/>
  <c r="C71" i="3"/>
  <c r="B71" i="3"/>
  <c r="H66" i="3"/>
  <c r="G66" i="3"/>
  <c r="F66" i="3"/>
  <c r="E66" i="3"/>
  <c r="D66" i="3"/>
  <c r="C66" i="3"/>
  <c r="B66" i="3"/>
  <c r="H62" i="3"/>
  <c r="G62" i="3"/>
  <c r="F62" i="3"/>
  <c r="E62" i="3"/>
  <c r="D62" i="3"/>
  <c r="C62" i="3"/>
  <c r="B62" i="3"/>
  <c r="H60" i="3"/>
  <c r="G60" i="3"/>
  <c r="F60" i="3"/>
  <c r="E60" i="3"/>
  <c r="D60" i="3"/>
  <c r="C60" i="3"/>
  <c r="B60" i="3"/>
  <c r="H58" i="3"/>
  <c r="G58" i="3"/>
  <c r="F58" i="3"/>
  <c r="E58" i="3"/>
  <c r="D58" i="3"/>
  <c r="J58" i="3" s="1"/>
  <c r="C58" i="3"/>
  <c r="B58" i="3"/>
  <c r="H56" i="3"/>
  <c r="G56" i="3"/>
  <c r="F56" i="3"/>
  <c r="E56" i="3"/>
  <c r="D56" i="3"/>
  <c r="C56" i="3"/>
  <c r="B56" i="3"/>
  <c r="H54" i="3"/>
  <c r="G54" i="3"/>
  <c r="F54" i="3"/>
  <c r="E54" i="3"/>
  <c r="D54" i="3"/>
  <c r="C54" i="3"/>
  <c r="B54" i="3"/>
  <c r="I48" i="3"/>
  <c r="H48" i="3"/>
  <c r="G48" i="3"/>
  <c r="F48" i="3"/>
  <c r="E48" i="3"/>
  <c r="D48" i="3"/>
  <c r="C48" i="3"/>
  <c r="B48" i="3"/>
  <c r="I45" i="3"/>
  <c r="H45" i="3"/>
  <c r="G45" i="3"/>
  <c r="F45" i="3"/>
  <c r="E45" i="3"/>
  <c r="D45" i="3"/>
  <c r="C45" i="3"/>
  <c r="B45" i="3"/>
  <c r="I42" i="3"/>
  <c r="H42" i="3"/>
  <c r="G42" i="3"/>
  <c r="F42" i="3"/>
  <c r="E42" i="3"/>
  <c r="D42" i="3"/>
  <c r="C42" i="3"/>
  <c r="B42" i="3"/>
  <c r="I38" i="3"/>
  <c r="I41" i="3" s="1"/>
  <c r="H38" i="3"/>
  <c r="G38" i="3"/>
  <c r="F38" i="3"/>
  <c r="E38" i="3"/>
  <c r="D38" i="3"/>
  <c r="C38" i="3"/>
  <c r="B38" i="3"/>
  <c r="I33" i="3"/>
  <c r="H33" i="3"/>
  <c r="G33" i="3"/>
  <c r="F33" i="3"/>
  <c r="E33" i="3"/>
  <c r="D33" i="3"/>
  <c r="C33" i="3"/>
  <c r="B33" i="3"/>
  <c r="I29" i="3"/>
  <c r="H29" i="3"/>
  <c r="G29" i="3"/>
  <c r="F29" i="3"/>
  <c r="E29" i="3"/>
  <c r="D29" i="3"/>
  <c r="C29" i="3"/>
  <c r="B29" i="3"/>
  <c r="I27" i="3"/>
  <c r="T14" i="3" s="1"/>
  <c r="H27" i="3"/>
  <c r="G27" i="3"/>
  <c r="F27" i="3"/>
  <c r="E27" i="3"/>
  <c r="D27" i="3"/>
  <c r="C27" i="3"/>
  <c r="B27" i="3"/>
  <c r="I25" i="3"/>
  <c r="H25" i="3"/>
  <c r="G25" i="3"/>
  <c r="F25" i="3"/>
  <c r="E25" i="3"/>
  <c r="D25" i="3"/>
  <c r="C25" i="3"/>
  <c r="B25" i="3"/>
  <c r="J25" i="3" s="1"/>
  <c r="I23" i="3"/>
  <c r="T12" i="3" s="1"/>
  <c r="H23" i="3"/>
  <c r="G23" i="3"/>
  <c r="F23" i="3"/>
  <c r="E23" i="3"/>
  <c r="D23" i="3"/>
  <c r="C23" i="3"/>
  <c r="B23" i="3"/>
  <c r="A20" i="3"/>
  <c r="M167" i="3" l="1"/>
  <c r="G205" i="3"/>
  <c r="T64" i="3"/>
  <c r="U64" i="3" s="1"/>
  <c r="S63" i="3"/>
  <c r="U63" i="3" s="1"/>
  <c r="J33" i="3"/>
  <c r="J32" i="3" s="1"/>
  <c r="S16" i="3" s="1"/>
  <c r="I205" i="3"/>
  <c r="J95" i="3"/>
  <c r="B209" i="3"/>
  <c r="T58" i="3"/>
  <c r="U58" i="3" s="1"/>
  <c r="T18" i="3"/>
  <c r="I35" i="3"/>
  <c r="C209" i="3"/>
  <c r="J128" i="3"/>
  <c r="D209" i="3"/>
  <c r="E209" i="3"/>
  <c r="J91" i="3"/>
  <c r="T72" i="3"/>
  <c r="I209" i="3"/>
  <c r="U65" i="3"/>
  <c r="T66" i="3"/>
  <c r="U66" i="3" s="1"/>
  <c r="J99" i="3"/>
  <c r="B215" i="3"/>
  <c r="B205" i="3"/>
  <c r="B206" i="3"/>
  <c r="J124" i="3"/>
  <c r="C215" i="3"/>
  <c r="T70" i="3"/>
  <c r="U70" i="3" s="1"/>
  <c r="I215" i="3"/>
  <c r="J29" i="3"/>
  <c r="K29" i="3" s="1"/>
  <c r="L29" i="3" s="1"/>
  <c r="M29" i="3" s="1"/>
  <c r="J132" i="3"/>
  <c r="D215" i="3"/>
  <c r="I76" i="3"/>
  <c r="I72" i="3"/>
  <c r="I79" i="3"/>
  <c r="J62" i="3"/>
  <c r="K62" i="3" s="1"/>
  <c r="L62" i="3" s="1"/>
  <c r="M62" i="3" s="1"/>
  <c r="N62" i="3" s="1"/>
  <c r="I57" i="3"/>
  <c r="I59" i="3" s="1"/>
  <c r="I61" i="3"/>
  <c r="I63" i="3" s="1"/>
  <c r="K33" i="3"/>
  <c r="L33" i="3" s="1"/>
  <c r="M33" i="3" s="1"/>
  <c r="J66" i="3"/>
  <c r="I82" i="3"/>
  <c r="I74" i="3"/>
  <c r="I68" i="3"/>
  <c r="I23" i="4"/>
  <c r="N167" i="3" l="1"/>
  <c r="K132" i="3"/>
  <c r="J131" i="3"/>
  <c r="S52" i="3" s="1"/>
  <c r="S69" i="3"/>
  <c r="U69" i="3" s="1"/>
  <c r="K124" i="3"/>
  <c r="J123" i="3"/>
  <c r="K91" i="3"/>
  <c r="J90" i="3"/>
  <c r="J127" i="3"/>
  <c r="K128" i="3"/>
  <c r="K95" i="3"/>
  <c r="J94" i="3"/>
  <c r="J215" i="3"/>
  <c r="K215" i="3" s="1"/>
  <c r="L215" i="3" s="1"/>
  <c r="M215" i="3" s="1"/>
  <c r="N215" i="3" s="1"/>
  <c r="J98" i="3"/>
  <c r="K99" i="3"/>
  <c r="T3" i="3"/>
  <c r="T7" i="3" s="1"/>
  <c r="N33" i="3"/>
  <c r="N29" i="3"/>
  <c r="K58" i="3"/>
  <c r="L58" i="3" s="1"/>
  <c r="M58" i="3" s="1"/>
  <c r="N58" i="3" s="1"/>
  <c r="K66" i="3"/>
  <c r="L66" i="3" s="1"/>
  <c r="M66" i="3" s="1"/>
  <c r="N66" i="3" s="1"/>
  <c r="B52" i="4"/>
  <c r="C52" i="4"/>
  <c r="D52" i="4"/>
  <c r="E52" i="4"/>
  <c r="F52" i="4"/>
  <c r="G52" i="4"/>
  <c r="H52" i="4"/>
  <c r="I52" i="4"/>
  <c r="B23" i="4"/>
  <c r="B48" i="4"/>
  <c r="C48" i="4"/>
  <c r="D48" i="4"/>
  <c r="E48" i="4"/>
  <c r="F48" i="4"/>
  <c r="G48" i="4"/>
  <c r="H48" i="4"/>
  <c r="I48" i="4"/>
  <c r="K127" i="3" l="1"/>
  <c r="L128" i="3"/>
  <c r="J89" i="3"/>
  <c r="S36" i="3"/>
  <c r="U36" i="3" s="1"/>
  <c r="L91" i="3"/>
  <c r="K90" i="3"/>
  <c r="J126" i="3"/>
  <c r="S49" i="3" s="1"/>
  <c r="U49" i="3" s="1"/>
  <c r="S50" i="3"/>
  <c r="U50" i="3" s="1"/>
  <c r="K123" i="3"/>
  <c r="L124" i="3"/>
  <c r="L99" i="3"/>
  <c r="K98" i="3"/>
  <c r="S40" i="3"/>
  <c r="K213" i="3"/>
  <c r="J213" i="3"/>
  <c r="J122" i="3"/>
  <c r="S48" i="3"/>
  <c r="U48" i="3" s="1"/>
  <c r="J93" i="3"/>
  <c r="S37" i="3" s="1"/>
  <c r="U37" i="3" s="1"/>
  <c r="S38" i="3"/>
  <c r="U38" i="3" s="1"/>
  <c r="L95" i="3"/>
  <c r="K94" i="3"/>
  <c r="K93" i="3" s="1"/>
  <c r="L132" i="3"/>
  <c r="K131" i="3"/>
  <c r="B70" i="4"/>
  <c r="I68" i="4"/>
  <c r="H68" i="4"/>
  <c r="G68" i="4"/>
  <c r="F68" i="4"/>
  <c r="E68" i="4"/>
  <c r="D68" i="4"/>
  <c r="C68" i="4"/>
  <c r="B68" i="4"/>
  <c r="I64" i="4"/>
  <c r="H64" i="4"/>
  <c r="G64" i="4"/>
  <c r="F64" i="4"/>
  <c r="E64" i="4"/>
  <c r="D64" i="4"/>
  <c r="C64" i="4"/>
  <c r="B64" i="4"/>
  <c r="I63" i="4"/>
  <c r="H63" i="4"/>
  <c r="G63" i="4"/>
  <c r="F63" i="4"/>
  <c r="E63" i="4"/>
  <c r="D63" i="4"/>
  <c r="C63" i="4"/>
  <c r="B63" i="4"/>
  <c r="I61" i="4"/>
  <c r="H61" i="4"/>
  <c r="G61" i="4"/>
  <c r="F61" i="4"/>
  <c r="E61" i="4"/>
  <c r="D61" i="4"/>
  <c r="C61" i="4"/>
  <c r="B61" i="4"/>
  <c r="I50" i="4"/>
  <c r="H50" i="4"/>
  <c r="G50" i="4"/>
  <c r="F50" i="4"/>
  <c r="E50" i="4"/>
  <c r="D50" i="4"/>
  <c r="C50" i="4"/>
  <c r="B50" i="4"/>
  <c r="I42" i="4"/>
  <c r="H42" i="4"/>
  <c r="G42" i="4"/>
  <c r="F42" i="4"/>
  <c r="E42" i="4"/>
  <c r="D42" i="4"/>
  <c r="C42" i="4"/>
  <c r="B42" i="4"/>
  <c r="I41" i="4"/>
  <c r="H41" i="4"/>
  <c r="G41" i="4"/>
  <c r="G39" i="4" s="1"/>
  <c r="F41" i="4"/>
  <c r="F39" i="4" s="1"/>
  <c r="E41" i="4"/>
  <c r="E39" i="4" s="1"/>
  <c r="D41" i="4"/>
  <c r="D39" i="4" s="1"/>
  <c r="C41" i="4"/>
  <c r="C39" i="4" s="1"/>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H43" i="4" s="1"/>
  <c r="G34" i="4"/>
  <c r="F34" i="4"/>
  <c r="E34" i="4"/>
  <c r="D34" i="4"/>
  <c r="C34" i="4"/>
  <c r="B34" i="4"/>
  <c r="I33" i="4"/>
  <c r="H33" i="4"/>
  <c r="G33" i="4"/>
  <c r="F33" i="4"/>
  <c r="E33" i="4"/>
  <c r="D33" i="4"/>
  <c r="C33" i="4"/>
  <c r="C73" i="4" s="1"/>
  <c r="B33" i="4"/>
  <c r="B73" i="4" s="1"/>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H23" i="4"/>
  <c r="I51" i="4" s="1"/>
  <c r="G23" i="4"/>
  <c r="H51" i="4" s="1"/>
  <c r="F23" i="4"/>
  <c r="E23" i="4"/>
  <c r="E51" i="4" s="1"/>
  <c r="D23" i="4"/>
  <c r="C23" i="4"/>
  <c r="B51" i="4"/>
  <c r="I22" i="4"/>
  <c r="I31" i="4" s="1"/>
  <c r="H22" i="4"/>
  <c r="G22" i="4"/>
  <c r="G31" i="4" s="1"/>
  <c r="F22" i="4"/>
  <c r="E22" i="4"/>
  <c r="D22" i="4"/>
  <c r="C22" i="4"/>
  <c r="B22" i="4"/>
  <c r="I21" i="4"/>
  <c r="H21" i="4"/>
  <c r="H31" i="4" s="1"/>
  <c r="H44" i="4" s="1"/>
  <c r="G21" i="4"/>
  <c r="F21" i="4"/>
  <c r="F31" i="4" s="1"/>
  <c r="E21" i="4"/>
  <c r="E31" i="4" s="1"/>
  <c r="D21" i="4"/>
  <c r="C21" i="4"/>
  <c r="C31" i="4" s="1"/>
  <c r="B21" i="4"/>
  <c r="B31" i="4" s="1"/>
  <c r="I16" i="4"/>
  <c r="H16" i="4"/>
  <c r="H18" i="4" s="1"/>
  <c r="G16" i="4"/>
  <c r="F16" i="4"/>
  <c r="E16" i="4"/>
  <c r="D16" i="4"/>
  <c r="D18" i="4" s="1"/>
  <c r="C16" i="4"/>
  <c r="B16" i="4"/>
  <c r="I15" i="4"/>
  <c r="I17" i="4" s="1"/>
  <c r="H15" i="4"/>
  <c r="H17" i="4" s="1"/>
  <c r="G15" i="4"/>
  <c r="G17" i="4" s="1"/>
  <c r="F15" i="4"/>
  <c r="F17" i="4" s="1"/>
  <c r="E15" i="4"/>
  <c r="E17" i="4" s="1"/>
  <c r="D15" i="4"/>
  <c r="D17" i="4" s="1"/>
  <c r="C15" i="4"/>
  <c r="C17" i="4" s="1"/>
  <c r="B15" i="4"/>
  <c r="B17" i="4" s="1"/>
  <c r="I12" i="4"/>
  <c r="H12" i="4"/>
  <c r="G12" i="4"/>
  <c r="F12" i="4"/>
  <c r="E12" i="4"/>
  <c r="D12" i="4"/>
  <c r="C12" i="4"/>
  <c r="B12" i="4"/>
  <c r="B11" i="4"/>
  <c r="B14" i="4" s="1"/>
  <c r="B19" i="4" s="1"/>
  <c r="I10" i="4"/>
  <c r="H10" i="4"/>
  <c r="G10" i="4"/>
  <c r="F10" i="4"/>
  <c r="E10" i="4"/>
  <c r="D10" i="4"/>
  <c r="C10" i="4"/>
  <c r="B10" i="4"/>
  <c r="G51" i="4"/>
  <c r="D51" i="4"/>
  <c r="C51" i="4"/>
  <c r="B39" i="4"/>
  <c r="I39" i="4"/>
  <c r="H39" i="4"/>
  <c r="G32" i="4"/>
  <c r="C18" i="4"/>
  <c r="B18" i="4"/>
  <c r="H1" i="4"/>
  <c r="G1" i="4"/>
  <c r="F1" i="4"/>
  <c r="E1" i="4" s="1"/>
  <c r="D1" i="4" s="1"/>
  <c r="C1" i="4" s="1"/>
  <c r="B1" i="4" s="1"/>
  <c r="E200" i="3"/>
  <c r="E202" i="3" s="1"/>
  <c r="B199" i="3"/>
  <c r="B195" i="3"/>
  <c r="I196" i="3"/>
  <c r="D195" i="3"/>
  <c r="C195" i="3"/>
  <c r="F190" i="3"/>
  <c r="B185" i="3"/>
  <c r="H180" i="3"/>
  <c r="G180" i="3"/>
  <c r="B180" i="3"/>
  <c r="B166" i="3"/>
  <c r="B163" i="3"/>
  <c r="H161" i="3"/>
  <c r="E161" i="3"/>
  <c r="B159" i="3"/>
  <c r="C167" i="3"/>
  <c r="B152" i="3"/>
  <c r="B148" i="3"/>
  <c r="B145" i="3"/>
  <c r="G142" i="3"/>
  <c r="H127" i="3"/>
  <c r="G127" i="3"/>
  <c r="B127" i="3"/>
  <c r="D112" i="3"/>
  <c r="B109" i="3"/>
  <c r="B105" i="3"/>
  <c r="E94" i="3"/>
  <c r="D94" i="3"/>
  <c r="D96" i="3" s="1"/>
  <c r="C94" i="3"/>
  <c r="C96" i="3" s="1"/>
  <c r="B94" i="3"/>
  <c r="B96" i="3" s="1"/>
  <c r="B90" i="3"/>
  <c r="H82" i="3"/>
  <c r="F79" i="3"/>
  <c r="E79" i="3"/>
  <c r="B79" i="3"/>
  <c r="B76" i="3"/>
  <c r="F61" i="3"/>
  <c r="F63" i="3" s="1"/>
  <c r="B61" i="3"/>
  <c r="B63" i="3" s="1"/>
  <c r="B57" i="3"/>
  <c r="B49" i="3"/>
  <c r="D35" i="3"/>
  <c r="C35" i="3"/>
  <c r="C28" i="3"/>
  <c r="C30" i="3" s="1"/>
  <c r="D28" i="3"/>
  <c r="D30" i="3" s="1"/>
  <c r="B28" i="3"/>
  <c r="K25" i="3"/>
  <c r="B24" i="3"/>
  <c r="J1" i="3"/>
  <c r="H1" i="3"/>
  <c r="G1" i="3" s="1"/>
  <c r="F1" i="3" s="1"/>
  <c r="E1" i="3" s="1"/>
  <c r="D1" i="3" s="1"/>
  <c r="C1" i="3" s="1"/>
  <c r="B1" i="3" s="1"/>
  <c r="H200" i="1"/>
  <c r="H201" i="1" s="1"/>
  <c r="E200" i="1"/>
  <c r="E201" i="1" s="1"/>
  <c r="D200" i="1"/>
  <c r="D201" i="1" s="1"/>
  <c r="C200" i="1"/>
  <c r="C201" i="1" s="1"/>
  <c r="I197" i="1"/>
  <c r="I200" i="1" s="1"/>
  <c r="I201" i="1" s="1"/>
  <c r="H197" i="1"/>
  <c r="G197" i="1"/>
  <c r="G200" i="1" s="1"/>
  <c r="G201" i="1" s="1"/>
  <c r="F197" i="1"/>
  <c r="F200" i="1" s="1"/>
  <c r="F201" i="1" s="1"/>
  <c r="D197" i="1"/>
  <c r="C197" i="1"/>
  <c r="B195" i="1"/>
  <c r="E188" i="1"/>
  <c r="G210" i="3"/>
  <c r="G212" i="3" s="1"/>
  <c r="E210" i="3"/>
  <c r="E212" i="3" s="1"/>
  <c r="D210" i="3"/>
  <c r="D212" i="3" s="1"/>
  <c r="I185" i="1"/>
  <c r="H185" i="1"/>
  <c r="H210" i="3" s="1"/>
  <c r="H212" i="3" s="1"/>
  <c r="G185" i="1"/>
  <c r="G188" i="1" s="1"/>
  <c r="F185" i="1"/>
  <c r="E185" i="1"/>
  <c r="D185" i="1"/>
  <c r="C185" i="1"/>
  <c r="C210" i="3" s="1"/>
  <c r="C212" i="3" s="1"/>
  <c r="B183" i="1"/>
  <c r="I173" i="1"/>
  <c r="I176" i="1" s="1"/>
  <c r="I177" i="1" s="1"/>
  <c r="H173" i="1"/>
  <c r="H176" i="1" s="1"/>
  <c r="H177" i="1" s="1"/>
  <c r="G173" i="1"/>
  <c r="G176" i="1" s="1"/>
  <c r="G177" i="1" s="1"/>
  <c r="F173" i="1"/>
  <c r="F176" i="1" s="1"/>
  <c r="F177" i="1" s="1"/>
  <c r="E173" i="1"/>
  <c r="E176" i="1" s="1"/>
  <c r="E177" i="1" s="1"/>
  <c r="D173" i="1"/>
  <c r="D176" i="1" s="1"/>
  <c r="D177" i="1" s="1"/>
  <c r="C171" i="1"/>
  <c r="C177" i="3" s="1"/>
  <c r="B171" i="1"/>
  <c r="F164" i="1"/>
  <c r="E164" i="1"/>
  <c r="I161" i="1"/>
  <c r="I164" i="1" s="1"/>
  <c r="H161" i="1"/>
  <c r="H164" i="1" s="1"/>
  <c r="G161" i="1"/>
  <c r="G164" i="1" s="1"/>
  <c r="F161" i="1"/>
  <c r="E161" i="1"/>
  <c r="D161" i="1"/>
  <c r="D164" i="1" s="1"/>
  <c r="C161" i="1"/>
  <c r="C164" i="1" s="1"/>
  <c r="B161" i="1"/>
  <c r="B164" i="1" s="1"/>
  <c r="E142" i="1"/>
  <c r="E149" i="1" s="1"/>
  <c r="E150" i="1" s="1"/>
  <c r="D137" i="1"/>
  <c r="C137" i="1"/>
  <c r="B137" i="1"/>
  <c r="D133" i="1"/>
  <c r="C133" i="1"/>
  <c r="B133" i="1"/>
  <c r="D129" i="1"/>
  <c r="C129" i="1"/>
  <c r="B129" i="1"/>
  <c r="D125" i="1"/>
  <c r="D172" i="3" s="1"/>
  <c r="C125" i="1"/>
  <c r="C172" i="3" s="1"/>
  <c r="B125" i="1"/>
  <c r="B172" i="3" s="1"/>
  <c r="I121" i="1"/>
  <c r="I118" i="3" s="1"/>
  <c r="T46" i="3" s="1"/>
  <c r="H121" i="1"/>
  <c r="H118" i="3" s="1"/>
  <c r="H130" i="3" s="1"/>
  <c r="G121" i="1"/>
  <c r="G118" i="3" s="1"/>
  <c r="F121" i="1"/>
  <c r="E121" i="1"/>
  <c r="E118" i="3" s="1"/>
  <c r="D121" i="1"/>
  <c r="D118" i="3" s="1"/>
  <c r="D146" i="3" s="1"/>
  <c r="C121" i="1"/>
  <c r="C118" i="3" s="1"/>
  <c r="B121" i="1"/>
  <c r="B118" i="3" s="1"/>
  <c r="B119" i="3" s="1"/>
  <c r="I117" i="1"/>
  <c r="I85" i="3" s="1"/>
  <c r="T34" i="3" s="1"/>
  <c r="H117" i="1"/>
  <c r="H85" i="3" s="1"/>
  <c r="G117" i="1"/>
  <c r="G85" i="3" s="1"/>
  <c r="F117" i="1"/>
  <c r="F85" i="3" s="1"/>
  <c r="E117" i="1"/>
  <c r="E85" i="3" s="1"/>
  <c r="E97" i="3" s="1"/>
  <c r="D117" i="1"/>
  <c r="D85" i="3" s="1"/>
  <c r="C117" i="1"/>
  <c r="C85" i="3" s="1"/>
  <c r="B117" i="1"/>
  <c r="B85" i="3" s="1"/>
  <c r="I113" i="1"/>
  <c r="I52" i="3" s="1"/>
  <c r="T22" i="3" s="1"/>
  <c r="H113" i="1"/>
  <c r="G113" i="1"/>
  <c r="G52" i="3" s="1"/>
  <c r="F113" i="1"/>
  <c r="F52" i="3" s="1"/>
  <c r="E113" i="1"/>
  <c r="E52" i="3" s="1"/>
  <c r="D113" i="1"/>
  <c r="D52" i="3" s="1"/>
  <c r="C113" i="1"/>
  <c r="C52" i="3" s="1"/>
  <c r="B113" i="1"/>
  <c r="I109" i="1"/>
  <c r="H109" i="1"/>
  <c r="H21" i="3" s="1"/>
  <c r="G109" i="1"/>
  <c r="G21" i="3" s="1"/>
  <c r="F109" i="1"/>
  <c r="F21" i="3" s="1"/>
  <c r="E109" i="1"/>
  <c r="E21" i="3" s="1"/>
  <c r="D109" i="1"/>
  <c r="C109" i="1"/>
  <c r="B109" i="1"/>
  <c r="B21" i="3" s="1"/>
  <c r="I94" i="1"/>
  <c r="I65" i="4" s="1"/>
  <c r="H94" i="1"/>
  <c r="H65" i="4" s="1"/>
  <c r="G94" i="1"/>
  <c r="G65" i="4" s="1"/>
  <c r="F94" i="1"/>
  <c r="E94" i="1"/>
  <c r="C94" i="1"/>
  <c r="D93" i="1"/>
  <c r="D94" i="1" s="1"/>
  <c r="C93" i="1"/>
  <c r="B93" i="1"/>
  <c r="B94" i="1" s="1"/>
  <c r="I85" i="1"/>
  <c r="I58" i="4" s="1"/>
  <c r="I59" i="4" s="1"/>
  <c r="I60" i="4" s="1"/>
  <c r="H85" i="1"/>
  <c r="H58" i="4" s="1"/>
  <c r="H59" i="4" s="1"/>
  <c r="H60" i="4" s="1"/>
  <c r="G85" i="1"/>
  <c r="G58" i="4" s="1"/>
  <c r="G59" i="4" s="1"/>
  <c r="G60" i="4" s="1"/>
  <c r="F85" i="1"/>
  <c r="F58" i="4" s="1"/>
  <c r="F59" i="4" s="1"/>
  <c r="F60" i="4" s="1"/>
  <c r="E85" i="1"/>
  <c r="E58" i="4" s="1"/>
  <c r="E59" i="4" s="1"/>
  <c r="E60" i="4" s="1"/>
  <c r="D85" i="1"/>
  <c r="D58" i="4" s="1"/>
  <c r="D59" i="4" s="1"/>
  <c r="D60" i="4" s="1"/>
  <c r="C85" i="1"/>
  <c r="C58" i="4" s="1"/>
  <c r="C59" i="4" s="1"/>
  <c r="C60" i="4" s="1"/>
  <c r="B85" i="1"/>
  <c r="B58" i="4" s="1"/>
  <c r="B59" i="4" s="1"/>
  <c r="B60" i="4" s="1"/>
  <c r="H59" i="1"/>
  <c r="I58" i="1"/>
  <c r="H58" i="1"/>
  <c r="G58" i="1"/>
  <c r="G59" i="1" s="1"/>
  <c r="G60" i="1" s="1"/>
  <c r="F58" i="1"/>
  <c r="E58" i="1"/>
  <c r="E59" i="1" s="1"/>
  <c r="D58" i="1"/>
  <c r="D59" i="1" s="1"/>
  <c r="C58" i="1"/>
  <c r="B58" i="1"/>
  <c r="I45" i="1"/>
  <c r="H45" i="1"/>
  <c r="G45" i="1"/>
  <c r="F45" i="1"/>
  <c r="F59" i="1" s="1"/>
  <c r="E45" i="1"/>
  <c r="D45" i="1"/>
  <c r="C45" i="1"/>
  <c r="B45" i="1"/>
  <c r="B36" i="1"/>
  <c r="I30" i="1"/>
  <c r="I36" i="1" s="1"/>
  <c r="H30" i="1"/>
  <c r="H36" i="1" s="1"/>
  <c r="G30" i="1"/>
  <c r="G36" i="1" s="1"/>
  <c r="F30" i="1"/>
  <c r="F36" i="1" s="1"/>
  <c r="E30" i="1"/>
  <c r="E36" i="1" s="1"/>
  <c r="D30" i="1"/>
  <c r="D36" i="1" s="1"/>
  <c r="C30" i="1"/>
  <c r="C36" i="1" s="1"/>
  <c r="B30" i="1"/>
  <c r="B10" i="1"/>
  <c r="B12" i="1" s="1"/>
  <c r="I7" i="1"/>
  <c r="H7" i="1"/>
  <c r="G7" i="1"/>
  <c r="F7" i="1"/>
  <c r="E7" i="1"/>
  <c r="D7" i="1"/>
  <c r="C7" i="1"/>
  <c r="B7" i="1"/>
  <c r="I4" i="1"/>
  <c r="H4" i="1"/>
  <c r="G4" i="1"/>
  <c r="G10" i="1" s="1"/>
  <c r="G11" i="4" s="1"/>
  <c r="G14" i="4" s="1"/>
  <c r="G19" i="4" s="1"/>
  <c r="F4" i="1"/>
  <c r="E4" i="1"/>
  <c r="E10" i="1" s="1"/>
  <c r="E12" i="1" s="1"/>
  <c r="D4" i="1"/>
  <c r="D10" i="1" s="1"/>
  <c r="C4" i="1"/>
  <c r="C10" i="1" s="1"/>
  <c r="B4" i="1"/>
  <c r="H1" i="1"/>
  <c r="G1" i="1" s="1"/>
  <c r="F1" i="1" s="1"/>
  <c r="E1" i="1" s="1"/>
  <c r="D1" i="1" s="1"/>
  <c r="C1" i="1" s="1"/>
  <c r="B1" i="1" s="1"/>
  <c r="L98" i="3" l="1"/>
  <c r="M99" i="3"/>
  <c r="M124" i="3"/>
  <c r="L123" i="3"/>
  <c r="S47" i="3"/>
  <c r="K122" i="3"/>
  <c r="L90" i="3"/>
  <c r="M91" i="3"/>
  <c r="J214" i="3"/>
  <c r="M132" i="3"/>
  <c r="L131" i="3"/>
  <c r="M95" i="3"/>
  <c r="L94" i="3"/>
  <c r="M128" i="3"/>
  <c r="L127" i="3"/>
  <c r="L213" i="3"/>
  <c r="L93" i="3"/>
  <c r="K214" i="3"/>
  <c r="K89" i="3"/>
  <c r="S35" i="3"/>
  <c r="K126" i="3"/>
  <c r="L126" i="3" s="1"/>
  <c r="K1" i="3"/>
  <c r="L1" i="3" s="1"/>
  <c r="M1" i="3" s="1"/>
  <c r="N1" i="3" s="1"/>
  <c r="C12" i="1"/>
  <c r="C11" i="4"/>
  <c r="C14" i="4" s="1"/>
  <c r="C19" i="4" s="1"/>
  <c r="D12" i="1"/>
  <c r="D20" i="1" s="1"/>
  <c r="D11" i="4"/>
  <c r="D14" i="4" s="1"/>
  <c r="D19" i="4" s="1"/>
  <c r="D165" i="1"/>
  <c r="B185" i="1"/>
  <c r="B176" i="3"/>
  <c r="H10" i="1"/>
  <c r="H11" i="4" s="1"/>
  <c r="H60" i="1"/>
  <c r="I10" i="1"/>
  <c r="I188" i="1"/>
  <c r="I210" i="3"/>
  <c r="I212" i="3" s="1"/>
  <c r="B173" i="1"/>
  <c r="B176" i="1" s="1"/>
  <c r="B177" i="1" s="1"/>
  <c r="B177" i="3"/>
  <c r="B17" i="3" s="1"/>
  <c r="B65" i="4"/>
  <c r="B66" i="4" s="1"/>
  <c r="B67" i="4" s="1"/>
  <c r="C65" i="4"/>
  <c r="C66" i="4" s="1"/>
  <c r="C67" i="4" s="1"/>
  <c r="D65" i="4"/>
  <c r="D66" i="4" s="1"/>
  <c r="D67" i="4" s="1"/>
  <c r="D60" i="1"/>
  <c r="D13" i="4"/>
  <c r="C142" i="1"/>
  <c r="C149" i="1" s="1"/>
  <c r="C150" i="1" s="1"/>
  <c r="C21" i="3"/>
  <c r="C40" i="3" s="1"/>
  <c r="D142" i="1"/>
  <c r="D149" i="1" s="1"/>
  <c r="D150" i="1" s="1"/>
  <c r="D21" i="3"/>
  <c r="D40" i="3" s="1"/>
  <c r="C173" i="1"/>
  <c r="C176" i="1" s="1"/>
  <c r="C177" i="1" s="1"/>
  <c r="F210" i="3"/>
  <c r="D31" i="4"/>
  <c r="E65" i="4"/>
  <c r="E66" i="4" s="1"/>
  <c r="E67" i="4" s="1"/>
  <c r="I18" i="4"/>
  <c r="B165" i="1"/>
  <c r="B142" i="1"/>
  <c r="B149" i="1" s="1"/>
  <c r="B52" i="3"/>
  <c r="B77" i="3" s="1"/>
  <c r="C165" i="1"/>
  <c r="B197" i="1"/>
  <c r="B200" i="1" s="1"/>
  <c r="B201" i="1" s="1"/>
  <c r="B174" i="3"/>
  <c r="E11" i="4"/>
  <c r="G142" i="1"/>
  <c r="G149" i="1" s="1"/>
  <c r="G150" i="1" s="1"/>
  <c r="I142" i="1"/>
  <c r="I149" i="1" s="1"/>
  <c r="B150" i="1" s="1"/>
  <c r="I21" i="3"/>
  <c r="I59" i="1"/>
  <c r="I60" i="1" s="1"/>
  <c r="C188" i="1"/>
  <c r="C59" i="1"/>
  <c r="C60" i="1" s="1"/>
  <c r="F142" i="1"/>
  <c r="F149" i="1" s="1"/>
  <c r="F150" i="1" s="1"/>
  <c r="F118" i="3"/>
  <c r="G119" i="3" s="1"/>
  <c r="G121" i="3" s="1"/>
  <c r="B59" i="1"/>
  <c r="B60" i="1" s="1"/>
  <c r="F65" i="4"/>
  <c r="F66" i="4" s="1"/>
  <c r="F67" i="4" s="1"/>
  <c r="D73" i="4"/>
  <c r="H66" i="4"/>
  <c r="H67" i="4" s="1"/>
  <c r="E18" i="4"/>
  <c r="H142" i="1"/>
  <c r="H149" i="1" s="1"/>
  <c r="H150" i="1" s="1"/>
  <c r="H52" i="3"/>
  <c r="H64" i="3" s="1"/>
  <c r="I165" i="1"/>
  <c r="D188" i="1"/>
  <c r="B13" i="4"/>
  <c r="F18" i="4"/>
  <c r="F10" i="1"/>
  <c r="F11" i="4" s="1"/>
  <c r="F14" i="4" s="1"/>
  <c r="F19" i="4" s="1"/>
  <c r="I73" i="3"/>
  <c r="I64" i="3"/>
  <c r="T28" i="3" s="1"/>
  <c r="I77" i="3"/>
  <c r="I80" i="3"/>
  <c r="I83" i="3"/>
  <c r="I70" i="3"/>
  <c r="F51" i="4"/>
  <c r="C13" i="4"/>
  <c r="G18" i="4"/>
  <c r="E73" i="4"/>
  <c r="F32" i="4"/>
  <c r="F73" i="4"/>
  <c r="G73" i="4"/>
  <c r="H73" i="4"/>
  <c r="I32" i="4"/>
  <c r="I43" i="4" s="1"/>
  <c r="I44" i="4" s="1"/>
  <c r="I73" i="4"/>
  <c r="L25" i="3"/>
  <c r="E28" i="3"/>
  <c r="E30" i="3" s="1"/>
  <c r="G159" i="3"/>
  <c r="D206" i="3"/>
  <c r="C164" i="3"/>
  <c r="C196" i="3"/>
  <c r="D196" i="3"/>
  <c r="F90" i="3"/>
  <c r="F92" i="3" s="1"/>
  <c r="E115" i="3"/>
  <c r="G145" i="3"/>
  <c r="F155" i="3"/>
  <c r="F157" i="3" s="1"/>
  <c r="I181" i="3"/>
  <c r="I183" i="3" s="1"/>
  <c r="F28" i="3"/>
  <c r="F30" i="3" s="1"/>
  <c r="E112" i="3"/>
  <c r="E138" i="3"/>
  <c r="I159" i="3"/>
  <c r="H155" i="3"/>
  <c r="H157" i="3" s="1"/>
  <c r="F199" i="3"/>
  <c r="E110" i="3"/>
  <c r="G101" i="3"/>
  <c r="G103" i="3" s="1"/>
  <c r="D187" i="3"/>
  <c r="B167" i="3"/>
  <c r="G28" i="3"/>
  <c r="G30" i="3" s="1"/>
  <c r="D79" i="3"/>
  <c r="I208" i="3"/>
  <c r="G79" i="3"/>
  <c r="F167" i="3"/>
  <c r="E195" i="3"/>
  <c r="H139" i="3"/>
  <c r="B35" i="3"/>
  <c r="B37" i="3" s="1"/>
  <c r="D161" i="3"/>
  <c r="G115" i="3"/>
  <c r="C61" i="3"/>
  <c r="C63" i="3" s="1"/>
  <c r="G163" i="3"/>
  <c r="H43" i="3"/>
  <c r="D134" i="3"/>
  <c r="D136" i="3" s="1"/>
  <c r="B193" i="3"/>
  <c r="J193" i="3" s="1"/>
  <c r="E140" i="3"/>
  <c r="C64" i="3"/>
  <c r="C76" i="3"/>
  <c r="D64" i="3"/>
  <c r="D68" i="3"/>
  <c r="D83" i="3"/>
  <c r="E77" i="3"/>
  <c r="C166" i="3"/>
  <c r="C193" i="3"/>
  <c r="E24" i="3"/>
  <c r="E26" i="3" s="1"/>
  <c r="G134" i="3"/>
  <c r="E166" i="3"/>
  <c r="E199" i="3"/>
  <c r="B40" i="3"/>
  <c r="C105" i="3"/>
  <c r="F193" i="3"/>
  <c r="H113" i="3"/>
  <c r="F159" i="3"/>
  <c r="G193" i="3"/>
  <c r="D189" i="3"/>
  <c r="F163" i="3"/>
  <c r="E170" i="3"/>
  <c r="D61" i="3"/>
  <c r="D63" i="3" s="1"/>
  <c r="B149" i="3"/>
  <c r="I113" i="3"/>
  <c r="G40" i="3"/>
  <c r="F107" i="3"/>
  <c r="E186" i="3"/>
  <c r="I193" i="3"/>
  <c r="H79" i="3"/>
  <c r="E169" i="3"/>
  <c r="D163" i="3"/>
  <c r="E57" i="3"/>
  <c r="E59" i="3" s="1"/>
  <c r="E145" i="3"/>
  <c r="G186" i="3"/>
  <c r="F83" i="3"/>
  <c r="G107" i="3"/>
  <c r="F186" i="3"/>
  <c r="B116" i="3"/>
  <c r="F86" i="3"/>
  <c r="F88" i="3" s="1"/>
  <c r="C115" i="3"/>
  <c r="B140" i="3"/>
  <c r="D148" i="3"/>
  <c r="I130" i="3"/>
  <c r="I204" i="3"/>
  <c r="C185" i="3"/>
  <c r="B59" i="3"/>
  <c r="C170" i="3"/>
  <c r="F148" i="3"/>
  <c r="I143" i="3"/>
  <c r="C57" i="3"/>
  <c r="C59" i="3" s="1"/>
  <c r="H44" i="3"/>
  <c r="B43" i="3"/>
  <c r="D57" i="3"/>
  <c r="D59" i="3" s="1"/>
  <c r="G109" i="3"/>
  <c r="D164" i="3"/>
  <c r="E159" i="3"/>
  <c r="D170" i="3"/>
  <c r="H204" i="3"/>
  <c r="G148" i="3"/>
  <c r="F189" i="3"/>
  <c r="D208" i="3"/>
  <c r="C140" i="3"/>
  <c r="C163" i="3"/>
  <c r="B44" i="3"/>
  <c r="B115" i="3"/>
  <c r="F170" i="3"/>
  <c r="B129" i="3"/>
  <c r="G152" i="3"/>
  <c r="G154" i="3" s="1"/>
  <c r="B186" i="3"/>
  <c r="C8" i="3"/>
  <c r="C47" i="4" s="1"/>
  <c r="E142" i="3"/>
  <c r="I127" i="3"/>
  <c r="I129" i="3" s="1"/>
  <c r="B155" i="3"/>
  <c r="B30" i="3"/>
  <c r="B26" i="3"/>
  <c r="B47" i="3"/>
  <c r="F8" i="3"/>
  <c r="F47" i="4" s="1"/>
  <c r="H57" i="3"/>
  <c r="H59" i="3" s="1"/>
  <c r="C74" i="3"/>
  <c r="D90" i="3"/>
  <c r="D92" i="3" s="1"/>
  <c r="B101" i="3"/>
  <c r="B102" i="3" s="1"/>
  <c r="C127" i="3"/>
  <c r="C129" i="3" s="1"/>
  <c r="F140" i="3"/>
  <c r="I146" i="3"/>
  <c r="H152" i="3"/>
  <c r="H154" i="3" s="1"/>
  <c r="C186" i="3"/>
  <c r="D24" i="3"/>
  <c r="D26" i="3" s="1"/>
  <c r="G8" i="3"/>
  <c r="G47" i="4" s="1"/>
  <c r="D46" i="3"/>
  <c r="E3" i="3"/>
  <c r="E3" i="4" s="1"/>
  <c r="E24" i="4" s="1"/>
  <c r="E90" i="3"/>
  <c r="E92" i="3" s="1"/>
  <c r="F101" i="3"/>
  <c r="F103" i="3" s="1"/>
  <c r="E123" i="3"/>
  <c r="E125" i="3" s="1"/>
  <c r="G139" i="3"/>
  <c r="D145" i="3"/>
  <c r="B164" i="3"/>
  <c r="I161" i="3"/>
  <c r="H143" i="3"/>
  <c r="C109" i="3"/>
  <c r="D185" i="3"/>
  <c r="H110" i="3"/>
  <c r="G185" i="3"/>
  <c r="E47" i="3"/>
  <c r="B200" i="3"/>
  <c r="B202" i="3" s="1"/>
  <c r="J202" i="3" s="1"/>
  <c r="E64" i="3"/>
  <c r="F72" i="3"/>
  <c r="G90" i="3"/>
  <c r="G92" i="3" s="1"/>
  <c r="C130" i="3"/>
  <c r="I134" i="3"/>
  <c r="I136" i="3" s="1"/>
  <c r="C189" i="3"/>
  <c r="F196" i="3"/>
  <c r="D8" i="3"/>
  <c r="D47" i="4" s="1"/>
  <c r="I86" i="3"/>
  <c r="I88" i="3" s="1"/>
  <c r="B92" i="3"/>
  <c r="I109" i="3"/>
  <c r="B39" i="3"/>
  <c r="G74" i="3"/>
  <c r="D97" i="3"/>
  <c r="E98" i="3" s="1"/>
  <c r="E100" i="3" s="1"/>
  <c r="F97" i="3"/>
  <c r="F98" i="3" s="1"/>
  <c r="F100" i="3" s="1"/>
  <c r="F113" i="3"/>
  <c r="B160" i="3"/>
  <c r="G196" i="3"/>
  <c r="F166" i="3"/>
  <c r="F76" i="3"/>
  <c r="G76" i="3"/>
  <c r="E82" i="3"/>
  <c r="E68" i="3"/>
  <c r="E70" i="3" s="1"/>
  <c r="I116" i="3"/>
  <c r="H200" i="3"/>
  <c r="H202" i="3" s="1"/>
  <c r="G68" i="3"/>
  <c r="G70" i="3" s="1"/>
  <c r="F152" i="3"/>
  <c r="F154" i="3" s="1"/>
  <c r="E35" i="3"/>
  <c r="E36" i="3" s="1"/>
  <c r="C24" i="3"/>
  <c r="E74" i="3"/>
  <c r="B121" i="3"/>
  <c r="H140" i="3"/>
  <c r="H24" i="3"/>
  <c r="H26" i="3" s="1"/>
  <c r="H46" i="3"/>
  <c r="H74" i="3"/>
  <c r="G94" i="3"/>
  <c r="G96" i="3" s="1"/>
  <c r="D106" i="3"/>
  <c r="G14" i="3"/>
  <c r="E146" i="3"/>
  <c r="I123" i="3"/>
  <c r="I125" i="3" s="1"/>
  <c r="E160" i="3"/>
  <c r="D166" i="3"/>
  <c r="E190" i="3"/>
  <c r="H196" i="3"/>
  <c r="H211" i="3"/>
  <c r="E8" i="3"/>
  <c r="E83" i="3"/>
  <c r="E149" i="3"/>
  <c r="B106" i="3"/>
  <c r="F160" i="3"/>
  <c r="G187" i="3"/>
  <c r="F39" i="3"/>
  <c r="F112" i="3"/>
  <c r="D142" i="3"/>
  <c r="C161" i="3"/>
  <c r="I180" i="3"/>
  <c r="I187" i="3"/>
  <c r="D200" i="3"/>
  <c r="D202" i="3" s="1"/>
  <c r="C73" i="3"/>
  <c r="H50" i="3"/>
  <c r="C101" i="3"/>
  <c r="D76" i="3"/>
  <c r="H112" i="3"/>
  <c r="F164" i="3"/>
  <c r="D77" i="3"/>
  <c r="F57" i="3"/>
  <c r="F59" i="3" s="1"/>
  <c r="E76" i="3"/>
  <c r="F94" i="3"/>
  <c r="F96" i="3" s="1"/>
  <c r="I112" i="3"/>
  <c r="E119" i="3"/>
  <c r="E121" i="3" s="1"/>
  <c r="D138" i="3"/>
  <c r="F142" i="3"/>
  <c r="C148" i="3"/>
  <c r="G169" i="3"/>
  <c r="B181" i="3"/>
  <c r="B183" i="3" s="1"/>
  <c r="H192" i="3"/>
  <c r="F195" i="3"/>
  <c r="H94" i="3"/>
  <c r="H96" i="3" s="1"/>
  <c r="H14" i="3"/>
  <c r="E80" i="3"/>
  <c r="J80" i="3" s="1"/>
  <c r="H142" i="3"/>
  <c r="H195" i="3"/>
  <c r="E41" i="3"/>
  <c r="D127" i="3"/>
  <c r="D129" i="3" s="1"/>
  <c r="H138" i="3"/>
  <c r="I142" i="3"/>
  <c r="D169" i="3"/>
  <c r="C192" i="3"/>
  <c r="I195" i="3"/>
  <c r="G31" i="3"/>
  <c r="G195" i="3"/>
  <c r="B192" i="3"/>
  <c r="H208" i="3"/>
  <c r="C17" i="3"/>
  <c r="F77" i="3"/>
  <c r="I90" i="3"/>
  <c r="I92" i="3" s="1"/>
  <c r="H109" i="3"/>
  <c r="E206" i="3"/>
  <c r="H149" i="3"/>
  <c r="E152" i="3"/>
  <c r="E154" i="3" s="1"/>
  <c r="F169" i="3"/>
  <c r="B190" i="3"/>
  <c r="G200" i="3"/>
  <c r="G202" i="3" s="1"/>
  <c r="D74" i="3"/>
  <c r="E44" i="3"/>
  <c r="B50" i="3"/>
  <c r="E53" i="3"/>
  <c r="E55" i="3" s="1"/>
  <c r="I110" i="3"/>
  <c r="H119" i="3"/>
  <c r="H121" i="3" s="1"/>
  <c r="F134" i="3"/>
  <c r="F161" i="3"/>
  <c r="B214" i="3"/>
  <c r="G129" i="3"/>
  <c r="F44" i="3"/>
  <c r="E116" i="3"/>
  <c r="G164" i="3"/>
  <c r="B189" i="3"/>
  <c r="I39" i="3"/>
  <c r="E17" i="3"/>
  <c r="G72" i="3"/>
  <c r="B86" i="3"/>
  <c r="B88" i="3" s="1"/>
  <c r="E31" i="3"/>
  <c r="I46" i="3"/>
  <c r="H72" i="3"/>
  <c r="I107" i="3"/>
  <c r="H129" i="3"/>
  <c r="I149" i="3"/>
  <c r="H193" i="3"/>
  <c r="B41" i="3"/>
  <c r="G35" i="3"/>
  <c r="G37" i="3" s="1"/>
  <c r="D105" i="3"/>
  <c r="H134" i="3"/>
  <c r="H136" i="3" s="1"/>
  <c r="I140" i="3"/>
  <c r="G170" i="3"/>
  <c r="C187" i="3"/>
  <c r="E204" i="3"/>
  <c r="F24" i="3"/>
  <c r="F26" i="3" s="1"/>
  <c r="F138" i="3"/>
  <c r="G146" i="3"/>
  <c r="H148" i="3"/>
  <c r="H22" i="3"/>
  <c r="F68" i="3"/>
  <c r="F70" i="3" s="1"/>
  <c r="E101" i="3"/>
  <c r="E103" i="3" s="1"/>
  <c r="C72" i="3"/>
  <c r="C68" i="3"/>
  <c r="C70" i="3" s="1"/>
  <c r="I24" i="3"/>
  <c r="I26" i="3" s="1"/>
  <c r="F49" i="3"/>
  <c r="E113" i="3"/>
  <c r="C134" i="3"/>
  <c r="I148" i="3"/>
  <c r="E189" i="3"/>
  <c r="D32" i="4"/>
  <c r="D43" i="4" s="1"/>
  <c r="E32" i="4"/>
  <c r="E43" i="4" s="1"/>
  <c r="E44" i="4" s="1"/>
  <c r="B32" i="4"/>
  <c r="C32" i="4"/>
  <c r="B62" i="4"/>
  <c r="C62" i="4"/>
  <c r="D62" i="4"/>
  <c r="E62" i="4"/>
  <c r="B43" i="4"/>
  <c r="B44" i="4" s="1"/>
  <c r="C43" i="4"/>
  <c r="C44" i="4" s="1"/>
  <c r="F43" i="4"/>
  <c r="F44" i="4" s="1"/>
  <c r="G43" i="4"/>
  <c r="G44" i="4" s="1"/>
  <c r="G13" i="4"/>
  <c r="G66" i="4"/>
  <c r="G67" i="4" s="1"/>
  <c r="F62" i="4"/>
  <c r="G62" i="4"/>
  <c r="H62" i="4"/>
  <c r="I62" i="4"/>
  <c r="I66" i="4"/>
  <c r="I67" i="4" s="1"/>
  <c r="H105" i="3"/>
  <c r="H107" i="3"/>
  <c r="H101" i="3"/>
  <c r="H106" i="3"/>
  <c r="B134" i="3"/>
  <c r="B143" i="3"/>
  <c r="C142" i="3"/>
  <c r="B142" i="3"/>
  <c r="D110" i="3"/>
  <c r="D109" i="3"/>
  <c r="E109" i="3"/>
  <c r="D101" i="3"/>
  <c r="E14" i="3"/>
  <c r="G50" i="3"/>
  <c r="G49" i="3"/>
  <c r="G41" i="3"/>
  <c r="G17" i="3"/>
  <c r="H17" i="3"/>
  <c r="G97" i="3"/>
  <c r="H86" i="3"/>
  <c r="H88" i="3" s="1"/>
  <c r="G86" i="3"/>
  <c r="G88" i="3" s="1"/>
  <c r="G116" i="3"/>
  <c r="G82" i="3"/>
  <c r="F82" i="3"/>
  <c r="F74" i="3"/>
  <c r="D211" i="3"/>
  <c r="D119" i="3"/>
  <c r="D121" i="3" s="1"/>
  <c r="G160" i="3"/>
  <c r="G161" i="3"/>
  <c r="H159" i="3"/>
  <c r="C169" i="3"/>
  <c r="B169" i="3"/>
  <c r="B170" i="3"/>
  <c r="B208" i="3"/>
  <c r="H8" i="3"/>
  <c r="E163" i="3"/>
  <c r="E155" i="3"/>
  <c r="E157" i="3" s="1"/>
  <c r="E164" i="3"/>
  <c r="C208" i="3"/>
  <c r="F17" i="3"/>
  <c r="B130" i="3"/>
  <c r="B131" i="3" s="1"/>
  <c r="B133" i="3" s="1"/>
  <c r="B123" i="3"/>
  <c r="B125" i="3" s="1"/>
  <c r="H76" i="3"/>
  <c r="H68" i="3"/>
  <c r="I69" i="3" s="1"/>
  <c r="I28" i="3"/>
  <c r="I30" i="3" s="1"/>
  <c r="C143" i="3"/>
  <c r="G53" i="3"/>
  <c r="G55" i="3" s="1"/>
  <c r="E46" i="3"/>
  <c r="F46" i="3"/>
  <c r="G110" i="3"/>
  <c r="D115" i="3"/>
  <c r="D199" i="3"/>
  <c r="C199" i="3"/>
  <c r="E208" i="3"/>
  <c r="I49" i="3"/>
  <c r="C97" i="3"/>
  <c r="D86" i="3"/>
  <c r="D88" i="3" s="1"/>
  <c r="C86" i="3"/>
  <c r="C88" i="3" s="1"/>
  <c r="I139" i="3"/>
  <c r="I138" i="3"/>
  <c r="H206" i="3"/>
  <c r="I214" i="3"/>
  <c r="H214" i="3"/>
  <c r="I164" i="3"/>
  <c r="I152" i="3"/>
  <c r="I154" i="3" s="1"/>
  <c r="F127" i="3"/>
  <c r="F129" i="3" s="1"/>
  <c r="E127" i="3"/>
  <c r="E129" i="3" s="1"/>
  <c r="G167" i="3"/>
  <c r="G166" i="3"/>
  <c r="G208" i="3"/>
  <c r="F208" i="3"/>
  <c r="H31" i="3"/>
  <c r="H28" i="3"/>
  <c r="H30" i="3" s="1"/>
  <c r="F50" i="3"/>
  <c r="F41" i="3"/>
  <c r="H49" i="3"/>
  <c r="C119" i="3"/>
  <c r="C121" i="3" s="1"/>
  <c r="C139" i="3"/>
  <c r="C149" i="3"/>
  <c r="C159" i="3"/>
  <c r="C160" i="3"/>
  <c r="D159" i="3"/>
  <c r="G80" i="3"/>
  <c r="G83" i="3"/>
  <c r="G64" i="3"/>
  <c r="F22" i="3"/>
  <c r="F31" i="3"/>
  <c r="F40" i="3"/>
  <c r="D130" i="3"/>
  <c r="D139" i="3"/>
  <c r="D143" i="3"/>
  <c r="F214" i="3"/>
  <c r="F206" i="3"/>
  <c r="G190" i="3"/>
  <c r="G181" i="3"/>
  <c r="G183" i="3" s="1"/>
  <c r="G189" i="3"/>
  <c r="F47" i="3"/>
  <c r="I189" i="3"/>
  <c r="H189" i="3"/>
  <c r="H190" i="3"/>
  <c r="H181" i="3"/>
  <c r="H183" i="3" s="1"/>
  <c r="B82" i="3"/>
  <c r="D186" i="3"/>
  <c r="D180" i="3"/>
  <c r="F43" i="3"/>
  <c r="F35" i="3"/>
  <c r="I105" i="3"/>
  <c r="I101" i="3"/>
  <c r="I106" i="3"/>
  <c r="D116" i="3"/>
  <c r="D107" i="3"/>
  <c r="G43" i="3"/>
  <c r="F64" i="3"/>
  <c r="G214" i="3"/>
  <c r="G206" i="3"/>
  <c r="H115" i="3"/>
  <c r="I115" i="3"/>
  <c r="H116" i="3"/>
  <c r="D53" i="3"/>
  <c r="D55" i="3" s="1"/>
  <c r="C80" i="3"/>
  <c r="C83" i="3"/>
  <c r="G73" i="3"/>
  <c r="C77" i="3"/>
  <c r="H167" i="3"/>
  <c r="H166" i="3"/>
  <c r="E96" i="3"/>
  <c r="C155" i="3"/>
  <c r="C157" i="3" s="1"/>
  <c r="I166" i="3"/>
  <c r="I167" i="3"/>
  <c r="H170" i="3"/>
  <c r="I169" i="3"/>
  <c r="H169" i="3"/>
  <c r="D190" i="3"/>
  <c r="D193" i="3"/>
  <c r="D192" i="3"/>
  <c r="H40" i="3"/>
  <c r="H39" i="3"/>
  <c r="H41" i="3"/>
  <c r="H35" i="3"/>
  <c r="C43" i="3"/>
  <c r="B72" i="3"/>
  <c r="B74" i="3"/>
  <c r="G113" i="3"/>
  <c r="H185" i="3"/>
  <c r="H186" i="3"/>
  <c r="H187" i="3"/>
  <c r="E193" i="3"/>
  <c r="E192" i="3"/>
  <c r="D17" i="3"/>
  <c r="D36" i="3"/>
  <c r="E43" i="3"/>
  <c r="D43" i="3"/>
  <c r="D14" i="3"/>
  <c r="E49" i="3"/>
  <c r="E50" i="3"/>
  <c r="F80" i="3"/>
  <c r="F53" i="3"/>
  <c r="F55" i="3" s="1"/>
  <c r="G77" i="3"/>
  <c r="I97" i="3"/>
  <c r="G155" i="3"/>
  <c r="G157" i="3" s="1"/>
  <c r="C14" i="3"/>
  <c r="I185" i="3"/>
  <c r="I186" i="3"/>
  <c r="B22" i="3"/>
  <c r="B31" i="3"/>
  <c r="B32" i="3" s="1"/>
  <c r="B34" i="3" s="1"/>
  <c r="D41" i="3"/>
  <c r="D39" i="3"/>
  <c r="C113" i="3"/>
  <c r="C112" i="3"/>
  <c r="D123" i="3"/>
  <c r="D125" i="3" s="1"/>
  <c r="C146" i="3"/>
  <c r="C145" i="3"/>
  <c r="C180" i="3"/>
  <c r="C123" i="3"/>
  <c r="C125" i="3" s="1"/>
  <c r="E40" i="3"/>
  <c r="E39" i="3"/>
  <c r="C3" i="3"/>
  <c r="C3" i="4" s="1"/>
  <c r="C24" i="4" s="1"/>
  <c r="F123" i="3"/>
  <c r="F125" i="3" s="1"/>
  <c r="I192" i="3"/>
  <c r="G199" i="3"/>
  <c r="C41" i="3"/>
  <c r="C39" i="3"/>
  <c r="B113" i="3"/>
  <c r="B112" i="3"/>
  <c r="C46" i="3"/>
  <c r="B46" i="3"/>
  <c r="E72" i="3"/>
  <c r="E73" i="3"/>
  <c r="G39" i="3"/>
  <c r="H123" i="3"/>
  <c r="H125" i="3" s="1"/>
  <c r="G123" i="3"/>
  <c r="G125" i="3" s="1"/>
  <c r="F145" i="3"/>
  <c r="E167" i="3"/>
  <c r="I199" i="3"/>
  <c r="H199" i="3"/>
  <c r="G22" i="3"/>
  <c r="G44" i="3"/>
  <c r="C82" i="3"/>
  <c r="I94" i="3"/>
  <c r="I96" i="3" s="1"/>
  <c r="E106" i="3"/>
  <c r="E105" i="3"/>
  <c r="H146" i="3"/>
  <c r="I145" i="3"/>
  <c r="H145" i="3"/>
  <c r="G3" i="3"/>
  <c r="G46" i="3"/>
  <c r="G47" i="3"/>
  <c r="D82" i="3"/>
  <c r="F116" i="3"/>
  <c r="F115" i="3"/>
  <c r="C138" i="3"/>
  <c r="B138" i="3"/>
  <c r="B139" i="3"/>
  <c r="E187" i="3"/>
  <c r="E185" i="3"/>
  <c r="B204" i="3"/>
  <c r="H47" i="3"/>
  <c r="D49" i="3"/>
  <c r="C49" i="3"/>
  <c r="H97" i="3"/>
  <c r="H90" i="3"/>
  <c r="H92" i="3" s="1"/>
  <c r="E107" i="3"/>
  <c r="E181" i="3"/>
  <c r="E183" i="3" s="1"/>
  <c r="F181" i="3"/>
  <c r="F183" i="3" s="1"/>
  <c r="F185" i="3"/>
  <c r="F187" i="3"/>
  <c r="C200" i="3"/>
  <c r="C202" i="3" s="1"/>
  <c r="D204" i="3"/>
  <c r="C204" i="3"/>
  <c r="C206" i="3"/>
  <c r="C79" i="3"/>
  <c r="D113" i="3"/>
  <c r="D149" i="3"/>
  <c r="F200" i="3"/>
  <c r="F202" i="3" s="1"/>
  <c r="G204" i="3"/>
  <c r="F204" i="3"/>
  <c r="G24" i="3"/>
  <c r="G26" i="3" s="1"/>
  <c r="E61" i="3"/>
  <c r="E63" i="3" s="1"/>
  <c r="D72" i="3"/>
  <c r="D80" i="3"/>
  <c r="G112" i="3"/>
  <c r="E130" i="3"/>
  <c r="G149" i="3"/>
  <c r="D181" i="3"/>
  <c r="D183" i="3" s="1"/>
  <c r="J183" i="3" s="1"/>
  <c r="B187" i="3"/>
  <c r="B196" i="3"/>
  <c r="J196" i="3" s="1"/>
  <c r="K196" i="3" s="1"/>
  <c r="I200" i="3"/>
  <c r="I202" i="3" s="1"/>
  <c r="E211" i="3"/>
  <c r="G61" i="3"/>
  <c r="G63" i="3" s="1"/>
  <c r="D73" i="3"/>
  <c r="B107" i="3"/>
  <c r="G130" i="3"/>
  <c r="H131" i="3" s="1"/>
  <c r="H133" i="3" s="1"/>
  <c r="E134" i="3"/>
  <c r="E143" i="3"/>
  <c r="B154" i="3"/>
  <c r="D160" i="3"/>
  <c r="D155" i="3"/>
  <c r="D157" i="3" s="1"/>
  <c r="H163" i="3"/>
  <c r="H164" i="3"/>
  <c r="I170" i="3"/>
  <c r="F180" i="3"/>
  <c r="E180" i="3"/>
  <c r="H61" i="3"/>
  <c r="H63" i="3" s="1"/>
  <c r="C90" i="3"/>
  <c r="C92" i="3" s="1"/>
  <c r="C107" i="3"/>
  <c r="B110" i="3"/>
  <c r="D140" i="3"/>
  <c r="E139" i="3"/>
  <c r="C152" i="3"/>
  <c r="I163" i="3"/>
  <c r="E196" i="3"/>
  <c r="I43" i="3"/>
  <c r="F73" i="3"/>
  <c r="B97" i="3"/>
  <c r="B98" i="3" s="1"/>
  <c r="B100" i="3" s="1"/>
  <c r="C106" i="3"/>
  <c r="C110" i="3"/>
  <c r="I119" i="3"/>
  <c r="I121" i="3" s="1"/>
  <c r="G143" i="3"/>
  <c r="D152" i="3"/>
  <c r="D154" i="3" s="1"/>
  <c r="C181" i="3"/>
  <c r="C183" i="3" s="1"/>
  <c r="C190" i="3"/>
  <c r="F192" i="3"/>
  <c r="C214" i="3"/>
  <c r="F105" i="3"/>
  <c r="F106" i="3"/>
  <c r="G140" i="3"/>
  <c r="G138" i="3"/>
  <c r="E148" i="3"/>
  <c r="H160" i="3"/>
  <c r="G192" i="3"/>
  <c r="D214" i="3"/>
  <c r="G57" i="3"/>
  <c r="G59" i="3" s="1"/>
  <c r="B68" i="3"/>
  <c r="E86" i="3"/>
  <c r="E88" i="3" s="1"/>
  <c r="G105" i="3"/>
  <c r="G106" i="3"/>
  <c r="F109" i="3"/>
  <c r="F110" i="3"/>
  <c r="C116" i="3"/>
  <c r="B146" i="3"/>
  <c r="I160" i="3"/>
  <c r="I155" i="3"/>
  <c r="I157" i="3" s="1"/>
  <c r="B161" i="3"/>
  <c r="D167" i="3"/>
  <c r="E214" i="3"/>
  <c r="I206" i="3"/>
  <c r="B20" i="1"/>
  <c r="B64" i="1"/>
  <c r="B76" i="1" s="1"/>
  <c r="B96" i="1" s="1"/>
  <c r="B98" i="1" s="1"/>
  <c r="B99" i="1" s="1"/>
  <c r="C20" i="1"/>
  <c r="C64" i="1"/>
  <c r="C76" i="1" s="1"/>
  <c r="C96" i="1" s="1"/>
  <c r="C98" i="1" s="1"/>
  <c r="C99" i="1" s="1"/>
  <c r="B210" i="3"/>
  <c r="B188" i="1"/>
  <c r="E20" i="1"/>
  <c r="E64" i="1"/>
  <c r="E76" i="1" s="1"/>
  <c r="E96" i="1" s="1"/>
  <c r="E98" i="1" s="1"/>
  <c r="E99" i="1" s="1"/>
  <c r="E60" i="1"/>
  <c r="F165" i="1"/>
  <c r="F60" i="1"/>
  <c r="G165" i="1"/>
  <c r="G12" i="1"/>
  <c r="E165" i="1"/>
  <c r="D64" i="1"/>
  <c r="D76" i="1" s="1"/>
  <c r="D96" i="1" s="1"/>
  <c r="D98" i="1" s="1"/>
  <c r="D99" i="1" s="1"/>
  <c r="H188" i="1"/>
  <c r="C154" i="3" l="1"/>
  <c r="K202" i="3"/>
  <c r="J200" i="3"/>
  <c r="N95" i="3"/>
  <c r="N94" i="3" s="1"/>
  <c r="M94" i="3"/>
  <c r="M93" i="3" s="1"/>
  <c r="N93" i="3" s="1"/>
  <c r="J130" i="3"/>
  <c r="T52" i="3"/>
  <c r="U52" i="3" s="1"/>
  <c r="J140" i="3"/>
  <c r="M131" i="3"/>
  <c r="N132" i="3"/>
  <c r="N131" i="3" s="1"/>
  <c r="J187" i="3"/>
  <c r="K187" i="3" s="1"/>
  <c r="L187" i="3" s="1"/>
  <c r="M187" i="3" s="1"/>
  <c r="N187" i="3" s="1"/>
  <c r="N91" i="3"/>
  <c r="N90" i="3" s="1"/>
  <c r="M90" i="3"/>
  <c r="M89" i="3" s="1"/>
  <c r="J47" i="3"/>
  <c r="K47" i="3" s="1"/>
  <c r="L47" i="3" s="1"/>
  <c r="M47" i="3" s="1"/>
  <c r="N47" i="3" s="1"/>
  <c r="F211" i="3"/>
  <c r="F212" i="3"/>
  <c r="B156" i="3"/>
  <c r="B157" i="3"/>
  <c r="T10" i="3"/>
  <c r="I37" i="3"/>
  <c r="L214" i="3"/>
  <c r="T40" i="3"/>
  <c r="U40" i="3" s="1"/>
  <c r="J97" i="3"/>
  <c r="J180" i="3"/>
  <c r="J199" i="3"/>
  <c r="K199" i="3" s="1"/>
  <c r="L199" i="3" s="1"/>
  <c r="M199" i="3" s="1"/>
  <c r="N199" i="3" s="1"/>
  <c r="J74" i="3"/>
  <c r="M213" i="3"/>
  <c r="J113" i="3"/>
  <c r="K113" i="3" s="1"/>
  <c r="L113" i="3" s="1"/>
  <c r="M113" i="3" s="1"/>
  <c r="N113" i="3" s="1"/>
  <c r="J116" i="3"/>
  <c r="U35" i="3"/>
  <c r="L89" i="3"/>
  <c r="U47" i="3"/>
  <c r="J41" i="3"/>
  <c r="K41" i="3" s="1"/>
  <c r="L41" i="3" s="1"/>
  <c r="M41" i="3" s="1"/>
  <c r="N41" i="3" s="1"/>
  <c r="J83" i="3"/>
  <c r="J50" i="3"/>
  <c r="K50" i="3" s="1"/>
  <c r="L50" i="3" s="1"/>
  <c r="M50" i="3" s="1"/>
  <c r="N50" i="3" s="1"/>
  <c r="J107" i="3"/>
  <c r="K107" i="3" s="1"/>
  <c r="L107" i="3" s="1"/>
  <c r="M107" i="3" s="1"/>
  <c r="N107" i="3" s="1"/>
  <c r="M127" i="3"/>
  <c r="M126" i="3" s="1"/>
  <c r="N128" i="3"/>
  <c r="N127" i="3" s="1"/>
  <c r="L122" i="3"/>
  <c r="M123" i="3"/>
  <c r="N124" i="3"/>
  <c r="N123" i="3" s="1"/>
  <c r="J70" i="3"/>
  <c r="N99" i="3"/>
  <c r="N98" i="3" s="1"/>
  <c r="M98" i="3"/>
  <c r="B211" i="3"/>
  <c r="B212" i="3"/>
  <c r="J206" i="3"/>
  <c r="B3" i="3"/>
  <c r="B173" i="3"/>
  <c r="B5" i="3" s="1"/>
  <c r="B5" i="4" s="1"/>
  <c r="B8" i="3"/>
  <c r="I44" i="3"/>
  <c r="U19" i="3"/>
  <c r="C47" i="3"/>
  <c r="C44" i="3"/>
  <c r="C50" i="3"/>
  <c r="F119" i="3"/>
  <c r="F121" i="3" s="1"/>
  <c r="C22" i="3"/>
  <c r="F149" i="3"/>
  <c r="J149" i="3" s="1"/>
  <c r="I47" i="3"/>
  <c r="C31" i="3"/>
  <c r="C32" i="3" s="1"/>
  <c r="C34" i="3" s="1"/>
  <c r="F139" i="3"/>
  <c r="D3" i="3"/>
  <c r="E4" i="3" s="1"/>
  <c r="E4" i="4" s="1"/>
  <c r="F130" i="3"/>
  <c r="F131" i="3" s="1"/>
  <c r="F133" i="3" s="1"/>
  <c r="D22" i="3"/>
  <c r="C37" i="3"/>
  <c r="J37" i="3" s="1"/>
  <c r="K37" i="3" s="1"/>
  <c r="L37" i="3" s="1"/>
  <c r="M37" i="3" s="1"/>
  <c r="N37" i="3" s="1"/>
  <c r="D31" i="3"/>
  <c r="E32" i="3" s="1"/>
  <c r="E34" i="3" s="1"/>
  <c r="B14" i="3"/>
  <c r="B15" i="3" s="1"/>
  <c r="H77" i="3"/>
  <c r="I3" i="3"/>
  <c r="I40" i="3"/>
  <c r="D47" i="3"/>
  <c r="K193" i="3"/>
  <c r="L193" i="3" s="1"/>
  <c r="M193" i="3" s="1"/>
  <c r="N193" i="3" s="1"/>
  <c r="D37" i="3"/>
  <c r="I31" i="3"/>
  <c r="T16" i="3" s="1"/>
  <c r="F3" i="3"/>
  <c r="F19" i="3" s="1"/>
  <c r="I22" i="3"/>
  <c r="F146" i="3"/>
  <c r="J146" i="3" s="1"/>
  <c r="K146" i="3" s="1"/>
  <c r="L146" i="3" s="1"/>
  <c r="M146" i="3" s="1"/>
  <c r="N146" i="3" s="1"/>
  <c r="I50" i="3"/>
  <c r="F14" i="3"/>
  <c r="F15" i="3" s="1"/>
  <c r="D50" i="3"/>
  <c r="E22" i="3"/>
  <c r="G211" i="3"/>
  <c r="E13" i="4"/>
  <c r="E14" i="4"/>
  <c r="E19" i="4" s="1"/>
  <c r="H80" i="3"/>
  <c r="M25" i="3"/>
  <c r="I12" i="1"/>
  <c r="I11" i="4"/>
  <c r="B73" i="3"/>
  <c r="I53" i="3"/>
  <c r="I55" i="3" s="1"/>
  <c r="B10" i="3"/>
  <c r="H53" i="3"/>
  <c r="H55" i="3" s="1"/>
  <c r="B83" i="3"/>
  <c r="B64" i="3"/>
  <c r="B65" i="3" s="1"/>
  <c r="B67" i="3" s="1"/>
  <c r="H32" i="3"/>
  <c r="H34" i="3" s="1"/>
  <c r="G135" i="3"/>
  <c r="D44" i="4"/>
  <c r="H165" i="1"/>
  <c r="H3" i="3"/>
  <c r="H16" i="3" s="1"/>
  <c r="C211" i="3"/>
  <c r="F188" i="1"/>
  <c r="B80" i="3"/>
  <c r="B53" i="3"/>
  <c r="B55" i="3" s="1"/>
  <c r="H14" i="4"/>
  <c r="H19" i="4" s="1"/>
  <c r="H13" i="4"/>
  <c r="E19" i="3"/>
  <c r="H12" i="1"/>
  <c r="H64" i="1" s="1"/>
  <c r="H76" i="1" s="1"/>
  <c r="H96" i="1" s="1"/>
  <c r="F143" i="3"/>
  <c r="C53" i="3"/>
  <c r="C55" i="3" s="1"/>
  <c r="H73" i="3"/>
  <c r="D44" i="3"/>
  <c r="F13" i="4"/>
  <c r="I65" i="3"/>
  <c r="I67" i="3" s="1"/>
  <c r="I211" i="3"/>
  <c r="H83" i="3"/>
  <c r="F12" i="1"/>
  <c r="C6" i="4"/>
  <c r="H201" i="3"/>
  <c r="C36" i="3"/>
  <c r="C26" i="3"/>
  <c r="I131" i="3"/>
  <c r="I133" i="3" s="1"/>
  <c r="G98" i="3"/>
  <c r="G100" i="3" s="1"/>
  <c r="D5" i="3"/>
  <c r="D5" i="4" s="1"/>
  <c r="F65" i="3"/>
  <c r="F67" i="3" s="1"/>
  <c r="H65" i="3"/>
  <c r="H67" i="3" s="1"/>
  <c r="D65" i="3"/>
  <c r="D67" i="3" s="1"/>
  <c r="D135" i="3"/>
  <c r="B36" i="3"/>
  <c r="B201" i="3"/>
  <c r="B103" i="3"/>
  <c r="G136" i="3"/>
  <c r="E37" i="3"/>
  <c r="E5" i="3"/>
  <c r="E5" i="4" s="1"/>
  <c r="G201" i="3"/>
  <c r="E65" i="3"/>
  <c r="E67" i="3" s="1"/>
  <c r="D98" i="3"/>
  <c r="D100" i="3" s="1"/>
  <c r="H15" i="3"/>
  <c r="D70" i="3"/>
  <c r="C102" i="3"/>
  <c r="F102" i="3"/>
  <c r="G102" i="3"/>
  <c r="F135" i="3"/>
  <c r="G9" i="3"/>
  <c r="C136" i="3"/>
  <c r="E69" i="3"/>
  <c r="D9" i="3"/>
  <c r="G6" i="4"/>
  <c r="F6" i="4"/>
  <c r="H98" i="3"/>
  <c r="H100" i="3" s="1"/>
  <c r="D131" i="3"/>
  <c r="D133" i="3" s="1"/>
  <c r="E18" i="3"/>
  <c r="F9" i="3"/>
  <c r="D6" i="4"/>
  <c r="F69" i="3"/>
  <c r="C135" i="3"/>
  <c r="F32" i="3"/>
  <c r="F34" i="3" s="1"/>
  <c r="H135" i="3"/>
  <c r="I135" i="3"/>
  <c r="E47" i="4"/>
  <c r="E6" i="4"/>
  <c r="E10" i="3"/>
  <c r="B4" i="3"/>
  <c r="B4" i="4" s="1"/>
  <c r="B3" i="4"/>
  <c r="B24" i="4" s="1"/>
  <c r="E102" i="3"/>
  <c r="E131" i="3"/>
  <c r="E133" i="3" s="1"/>
  <c r="D69" i="3"/>
  <c r="C69" i="3"/>
  <c r="C103" i="3"/>
  <c r="G69" i="3"/>
  <c r="F136" i="3"/>
  <c r="G16" i="3"/>
  <c r="G3" i="4"/>
  <c r="G24" i="4" s="1"/>
  <c r="B182" i="3"/>
  <c r="E201" i="3"/>
  <c r="H47" i="4"/>
  <c r="H6" i="4"/>
  <c r="D201" i="3"/>
  <c r="E9" i="3"/>
  <c r="E15" i="3"/>
  <c r="E16" i="3"/>
  <c r="F18" i="3"/>
  <c r="F201" i="3"/>
  <c r="D15" i="3"/>
  <c r="G156" i="3"/>
  <c r="I156" i="3"/>
  <c r="H37" i="3"/>
  <c r="H36" i="3"/>
  <c r="H5" i="3"/>
  <c r="H5" i="4" s="1"/>
  <c r="B135" i="3"/>
  <c r="B136" i="3"/>
  <c r="I98" i="3"/>
  <c r="I100" i="3" s="1"/>
  <c r="H182" i="3"/>
  <c r="C201" i="3"/>
  <c r="B18" i="3"/>
  <c r="B19" i="3"/>
  <c r="L196" i="3"/>
  <c r="G18" i="3"/>
  <c r="G19" i="3"/>
  <c r="B69" i="3"/>
  <c r="B70" i="3"/>
  <c r="C16" i="3"/>
  <c r="H9" i="3"/>
  <c r="C156" i="3"/>
  <c r="H156" i="3"/>
  <c r="K183" i="3"/>
  <c r="H102" i="3"/>
  <c r="H103" i="3"/>
  <c r="C131" i="3"/>
  <c r="C133" i="3" s="1"/>
  <c r="H70" i="3"/>
  <c r="H69" i="3"/>
  <c r="F37" i="3"/>
  <c r="F5" i="3"/>
  <c r="F5" i="4" s="1"/>
  <c r="F36" i="3"/>
  <c r="D103" i="3"/>
  <c r="D102" i="3"/>
  <c r="D156" i="3"/>
  <c r="F182" i="3"/>
  <c r="E135" i="3"/>
  <c r="E136" i="3"/>
  <c r="J136" i="3" s="1"/>
  <c r="K136" i="3" s="1"/>
  <c r="L136" i="3" s="1"/>
  <c r="M136" i="3" s="1"/>
  <c r="N136" i="3" s="1"/>
  <c r="I201" i="3"/>
  <c r="I36" i="3"/>
  <c r="C5" i="3"/>
  <c r="C5" i="4" s="1"/>
  <c r="G36" i="3"/>
  <c r="I182" i="3"/>
  <c r="E182" i="3"/>
  <c r="G5" i="3"/>
  <c r="G5" i="4" s="1"/>
  <c r="G65" i="3"/>
  <c r="G67" i="3" s="1"/>
  <c r="G10" i="3"/>
  <c r="I102" i="3"/>
  <c r="I103" i="3"/>
  <c r="D18" i="3"/>
  <c r="E156" i="3"/>
  <c r="F156" i="3"/>
  <c r="C182" i="3"/>
  <c r="D182" i="3"/>
  <c r="C4" i="3"/>
  <c r="C4" i="4" s="1"/>
  <c r="C10" i="3"/>
  <c r="C19" i="3"/>
  <c r="C18" i="3"/>
  <c r="G182" i="3"/>
  <c r="C98" i="3"/>
  <c r="C100" i="3" s="1"/>
  <c r="G32" i="3"/>
  <c r="G34" i="3" s="1"/>
  <c r="H18" i="3"/>
  <c r="G20" i="1"/>
  <c r="G64" i="1"/>
  <c r="G76" i="1" s="1"/>
  <c r="G96" i="1" s="1"/>
  <c r="G98" i="1" s="1"/>
  <c r="F20" i="1"/>
  <c r="F64" i="1"/>
  <c r="F76" i="1" s="1"/>
  <c r="F96" i="1" s="1"/>
  <c r="F98" i="1" s="1"/>
  <c r="F99" i="1" s="1"/>
  <c r="K149" i="3" l="1"/>
  <c r="J148" i="3"/>
  <c r="K206" i="3"/>
  <c r="J203" i="3"/>
  <c r="M214" i="3"/>
  <c r="N126" i="3"/>
  <c r="J212" i="3"/>
  <c r="J103" i="3"/>
  <c r="K103" i="3" s="1"/>
  <c r="L103" i="3" s="1"/>
  <c r="M103" i="3" s="1"/>
  <c r="N103" i="3" s="1"/>
  <c r="J115" i="3"/>
  <c r="K116" i="3"/>
  <c r="J207" i="3"/>
  <c r="J201" i="3"/>
  <c r="K140" i="3"/>
  <c r="L140" i="3" s="1"/>
  <c r="M140" i="3" s="1"/>
  <c r="N140" i="3" s="1"/>
  <c r="L202" i="3"/>
  <c r="K200" i="3"/>
  <c r="K201" i="3" s="1"/>
  <c r="N89" i="3"/>
  <c r="N213" i="3"/>
  <c r="K180" i="3"/>
  <c r="L180" i="3" s="1"/>
  <c r="M180" i="3" s="1"/>
  <c r="N180" i="3" s="1"/>
  <c r="J179" i="3"/>
  <c r="S39" i="3"/>
  <c r="K97" i="3"/>
  <c r="J85" i="3"/>
  <c r="S51" i="3"/>
  <c r="J118" i="3"/>
  <c r="K130" i="3"/>
  <c r="M122" i="3"/>
  <c r="D3" i="4"/>
  <c r="D24" i="4" s="1"/>
  <c r="N25" i="3"/>
  <c r="I32" i="3"/>
  <c r="I34" i="3" s="1"/>
  <c r="U16" i="3"/>
  <c r="D4" i="3"/>
  <c r="D4" i="4" s="1"/>
  <c r="I3" i="4"/>
  <c r="I24" i="4" s="1"/>
  <c r="T4" i="3"/>
  <c r="D16" i="3"/>
  <c r="G131" i="3"/>
  <c r="G133" i="3" s="1"/>
  <c r="D10" i="3"/>
  <c r="J61" i="3"/>
  <c r="C15" i="3"/>
  <c r="D19" i="3"/>
  <c r="B16" i="3"/>
  <c r="H3" i="4"/>
  <c r="H24" i="4" s="1"/>
  <c r="F4" i="3"/>
  <c r="F4" i="4" s="1"/>
  <c r="D32" i="3"/>
  <c r="D34" i="3" s="1"/>
  <c r="F3" i="4"/>
  <c r="F24" i="4" s="1"/>
  <c r="H4" i="3"/>
  <c r="H4" i="4" s="1"/>
  <c r="I4" i="3"/>
  <c r="I4" i="4" s="1"/>
  <c r="G4" i="3"/>
  <c r="G4" i="4" s="1"/>
  <c r="F16" i="3"/>
  <c r="H19" i="3"/>
  <c r="F10" i="3"/>
  <c r="H10" i="3"/>
  <c r="C65" i="3"/>
  <c r="C67" i="3" s="1"/>
  <c r="G15" i="3"/>
  <c r="J28" i="3"/>
  <c r="H20" i="1"/>
  <c r="J57" i="3"/>
  <c r="J56" i="3" s="1"/>
  <c r="I14" i="4"/>
  <c r="I19" i="4" s="1"/>
  <c r="I13" i="4"/>
  <c r="I20" i="1"/>
  <c r="I64" i="1"/>
  <c r="I76" i="1" s="1"/>
  <c r="I96" i="1" s="1"/>
  <c r="J24" i="3"/>
  <c r="S12" i="3" s="1"/>
  <c r="U12" i="3" s="1"/>
  <c r="D11" i="3"/>
  <c r="D13" i="3" s="1"/>
  <c r="D9" i="4" s="1"/>
  <c r="C9" i="3"/>
  <c r="B6" i="4"/>
  <c r="B9" i="3"/>
  <c r="B47" i="4"/>
  <c r="K61" i="3"/>
  <c r="D7" i="3"/>
  <c r="D6" i="3"/>
  <c r="B6" i="3"/>
  <c r="B11" i="3"/>
  <c r="B12" i="3" s="1"/>
  <c r="B8" i="4" s="1"/>
  <c r="B7" i="3"/>
  <c r="E6" i="3"/>
  <c r="E11" i="3"/>
  <c r="E13" i="3" s="1"/>
  <c r="E9" i="4" s="1"/>
  <c r="E7" i="3"/>
  <c r="L183" i="3"/>
  <c r="M196" i="3"/>
  <c r="H7" i="3"/>
  <c r="H6" i="3"/>
  <c r="H11" i="3"/>
  <c r="F7" i="3"/>
  <c r="F11" i="3"/>
  <c r="F6" i="3"/>
  <c r="G7" i="3"/>
  <c r="G11" i="3"/>
  <c r="G6" i="3"/>
  <c r="C6" i="3"/>
  <c r="C7" i="3"/>
  <c r="C11" i="3"/>
  <c r="G99" i="1"/>
  <c r="H97" i="1"/>
  <c r="H98" i="1" s="1"/>
  <c r="J60" i="3" l="1"/>
  <c r="S25" i="3" s="1"/>
  <c r="U25" i="3" s="1"/>
  <c r="S26" i="3"/>
  <c r="U26" i="3" s="1"/>
  <c r="N214" i="3"/>
  <c r="K115" i="3"/>
  <c r="L116" i="3"/>
  <c r="M202" i="3"/>
  <c r="L200" i="3"/>
  <c r="N122" i="3"/>
  <c r="K118" i="3"/>
  <c r="L130" i="3"/>
  <c r="J111" i="3"/>
  <c r="J112" i="3" s="1"/>
  <c r="J114" i="3"/>
  <c r="J104" i="3" s="1"/>
  <c r="J86" i="3"/>
  <c r="J101" i="3"/>
  <c r="K212" i="3"/>
  <c r="J210" i="3"/>
  <c r="J211" i="3" s="1"/>
  <c r="J147" i="3"/>
  <c r="J137" i="3" s="1"/>
  <c r="J119" i="3"/>
  <c r="J144" i="3"/>
  <c r="J145" i="3" s="1"/>
  <c r="J134" i="3"/>
  <c r="K85" i="3"/>
  <c r="L97" i="3"/>
  <c r="U39" i="3"/>
  <c r="S33" i="3"/>
  <c r="U33" i="3" s="1"/>
  <c r="J204" i="3"/>
  <c r="J205" i="3"/>
  <c r="J208" i="3"/>
  <c r="J209" i="3"/>
  <c r="U51" i="3"/>
  <c r="S45" i="3"/>
  <c r="U45" i="3" s="1"/>
  <c r="K179" i="3"/>
  <c r="J194" i="3"/>
  <c r="J191" i="3"/>
  <c r="J192" i="3" s="1"/>
  <c r="J181" i="3"/>
  <c r="L206" i="3"/>
  <c r="K203" i="3"/>
  <c r="K148" i="3"/>
  <c r="L149" i="3"/>
  <c r="S23" i="3"/>
  <c r="S24" i="3"/>
  <c r="U24" i="3" s="1"/>
  <c r="J27" i="3"/>
  <c r="S13" i="3" s="1"/>
  <c r="U13" i="3" s="1"/>
  <c r="S14" i="3"/>
  <c r="U14" i="3" s="1"/>
  <c r="K60" i="3"/>
  <c r="J31" i="3"/>
  <c r="S15" i="3" s="1"/>
  <c r="U15" i="3" s="1"/>
  <c r="K28" i="3"/>
  <c r="K27" i="3" s="1"/>
  <c r="D12" i="3"/>
  <c r="D8" i="4" s="1"/>
  <c r="D7" i="4"/>
  <c r="D46" i="4"/>
  <c r="D49" i="4" s="1"/>
  <c r="D54" i="4" s="1"/>
  <c r="D55" i="4" s="1"/>
  <c r="K24" i="3"/>
  <c r="L28" i="3"/>
  <c r="K57" i="3"/>
  <c r="K56" i="3" s="1"/>
  <c r="I5" i="3"/>
  <c r="L61" i="3"/>
  <c r="J65" i="3"/>
  <c r="K65" i="3"/>
  <c r="B46" i="4"/>
  <c r="B7" i="4"/>
  <c r="B13" i="3"/>
  <c r="B9" i="4" s="1"/>
  <c r="E12" i="3"/>
  <c r="E8" i="4" s="1"/>
  <c r="F46" i="4"/>
  <c r="F49" i="4" s="1"/>
  <c r="F7" i="4"/>
  <c r="G46" i="4"/>
  <c r="G49" i="4" s="1"/>
  <c r="G7" i="4"/>
  <c r="E46" i="4"/>
  <c r="E49" i="4" s="1"/>
  <c r="E7" i="4"/>
  <c r="C46" i="4"/>
  <c r="C7" i="4"/>
  <c r="H46" i="4"/>
  <c r="H49" i="4" s="1"/>
  <c r="H7" i="4"/>
  <c r="H13" i="3"/>
  <c r="H9" i="4" s="1"/>
  <c r="H12" i="3"/>
  <c r="H8" i="4" s="1"/>
  <c r="F13" i="3"/>
  <c r="F9" i="4" s="1"/>
  <c r="F12" i="3"/>
  <c r="F8" i="4" s="1"/>
  <c r="C13" i="3"/>
  <c r="C9" i="4" s="1"/>
  <c r="C12" i="3"/>
  <c r="C8" i="4" s="1"/>
  <c r="N196" i="3"/>
  <c r="M183" i="3"/>
  <c r="G13" i="3"/>
  <c r="G9" i="4" s="1"/>
  <c r="G12" i="3"/>
  <c r="G8" i="4" s="1"/>
  <c r="I97" i="1"/>
  <c r="I98" i="1" s="1"/>
  <c r="I99" i="1" s="1"/>
  <c r="H99" i="1"/>
  <c r="J64" i="3" l="1"/>
  <c r="S27" i="3" s="1"/>
  <c r="U27" i="3" s="1"/>
  <c r="S28" i="3"/>
  <c r="U28" i="3" s="1"/>
  <c r="J87" i="3"/>
  <c r="S34" i="3"/>
  <c r="U34" i="3" s="1"/>
  <c r="L118" i="3"/>
  <c r="M130" i="3"/>
  <c r="N202" i="3"/>
  <c r="N200" i="3" s="1"/>
  <c r="M200" i="3"/>
  <c r="M97" i="3"/>
  <c r="L85" i="3"/>
  <c r="J141" i="3"/>
  <c r="J135" i="3"/>
  <c r="L212" i="3"/>
  <c r="K210" i="3"/>
  <c r="K211" i="3" s="1"/>
  <c r="J102" i="3"/>
  <c r="J108" i="3"/>
  <c r="J106" i="3"/>
  <c r="J105" i="3"/>
  <c r="J182" i="3"/>
  <c r="J195" i="3"/>
  <c r="J184" i="3"/>
  <c r="J138" i="3"/>
  <c r="J139" i="3"/>
  <c r="M206" i="3"/>
  <c r="L203" i="3"/>
  <c r="L179" i="3"/>
  <c r="K181" i="3"/>
  <c r="K194" i="3"/>
  <c r="K191" i="3"/>
  <c r="K192" i="3" s="1"/>
  <c r="K147" i="3"/>
  <c r="K137" i="3" s="1"/>
  <c r="K144" i="3"/>
  <c r="K145" i="3" s="1"/>
  <c r="K134" i="3"/>
  <c r="K119" i="3"/>
  <c r="K120" i="3" s="1"/>
  <c r="L207" i="3"/>
  <c r="L201" i="3"/>
  <c r="L115" i="3"/>
  <c r="M116" i="3"/>
  <c r="K114" i="3"/>
  <c r="K104" i="3" s="1"/>
  <c r="K86" i="3"/>
  <c r="K87" i="3" s="1"/>
  <c r="K101" i="3"/>
  <c r="K111" i="3"/>
  <c r="K112" i="3" s="1"/>
  <c r="L148" i="3"/>
  <c r="M149" i="3"/>
  <c r="J120" i="3"/>
  <c r="S46" i="3"/>
  <c r="U46" i="3" s="1"/>
  <c r="K207" i="3"/>
  <c r="K204" i="3"/>
  <c r="K205" i="3"/>
  <c r="S71" i="3"/>
  <c r="S73" i="3"/>
  <c r="U73" i="3" s="1"/>
  <c r="S21" i="3"/>
  <c r="U21" i="3" s="1"/>
  <c r="U23" i="3"/>
  <c r="L27" i="3"/>
  <c r="L60" i="3"/>
  <c r="B49" i="4"/>
  <c r="B53" i="4" s="1"/>
  <c r="D53" i="4"/>
  <c r="N28" i="3"/>
  <c r="M28" i="3"/>
  <c r="K32" i="3"/>
  <c r="K31" i="3" s="1"/>
  <c r="L24" i="3"/>
  <c r="L57" i="3"/>
  <c r="L56" i="3" s="1"/>
  <c r="L65" i="3"/>
  <c r="K64" i="3"/>
  <c r="J52" i="3"/>
  <c r="J53" i="3" s="1"/>
  <c r="N61" i="3"/>
  <c r="M61" i="3"/>
  <c r="I5" i="4"/>
  <c r="I6" i="3"/>
  <c r="I7" i="3"/>
  <c r="D56" i="4"/>
  <c r="D69" i="4"/>
  <c r="E53" i="4"/>
  <c r="E54" i="4"/>
  <c r="E55" i="4" s="1"/>
  <c r="H54" i="4"/>
  <c r="H55" i="4" s="1"/>
  <c r="H53" i="4"/>
  <c r="G54" i="4"/>
  <c r="G55" i="4" s="1"/>
  <c r="G53" i="4"/>
  <c r="F53" i="4"/>
  <c r="F54" i="4"/>
  <c r="F55" i="4" s="1"/>
  <c r="C49" i="4"/>
  <c r="N183" i="3"/>
  <c r="S72" i="3"/>
  <c r="U72" i="3" s="1"/>
  <c r="J109" i="3" l="1"/>
  <c r="S42" i="3" s="1"/>
  <c r="U42" i="3" s="1"/>
  <c r="J110" i="3"/>
  <c r="S41" i="3"/>
  <c r="U41" i="3" s="1"/>
  <c r="K135" i="3"/>
  <c r="K141" i="3"/>
  <c r="K209" i="3"/>
  <c r="K208" i="3"/>
  <c r="K188" i="3"/>
  <c r="K182" i="3"/>
  <c r="M179" i="3"/>
  <c r="L191" i="3"/>
  <c r="L192" i="3" s="1"/>
  <c r="L181" i="3"/>
  <c r="L194" i="3"/>
  <c r="N207" i="3"/>
  <c r="N201" i="3"/>
  <c r="K108" i="3"/>
  <c r="K102" i="3"/>
  <c r="M212" i="3"/>
  <c r="L210" i="3"/>
  <c r="L211" i="3" s="1"/>
  <c r="J142" i="3"/>
  <c r="S54" i="3" s="1"/>
  <c r="U54" i="3" s="1"/>
  <c r="J143" i="3"/>
  <c r="S53" i="3"/>
  <c r="U53" i="3" s="1"/>
  <c r="K184" i="3"/>
  <c r="K195" i="3"/>
  <c r="N97" i="3"/>
  <c r="N85" i="3" s="1"/>
  <c r="M85" i="3"/>
  <c r="L205" i="3"/>
  <c r="L204" i="3"/>
  <c r="N130" i="3"/>
  <c r="N118" i="3" s="1"/>
  <c r="M118" i="3"/>
  <c r="J185" i="3"/>
  <c r="J186" i="3"/>
  <c r="N116" i="3"/>
  <c r="N115" i="3" s="1"/>
  <c r="M115" i="3"/>
  <c r="L209" i="3"/>
  <c r="L208" i="3"/>
  <c r="K138" i="3"/>
  <c r="L114" i="3"/>
  <c r="L104" i="3" s="1"/>
  <c r="L101" i="3"/>
  <c r="L86" i="3"/>
  <c r="L87" i="3" s="1"/>
  <c r="L111" i="3"/>
  <c r="L112" i="3" s="1"/>
  <c r="M201" i="3"/>
  <c r="N149" i="3"/>
  <c r="N148" i="3" s="1"/>
  <c r="M148" i="3"/>
  <c r="N206" i="3"/>
  <c r="N203" i="3" s="1"/>
  <c r="M203" i="3"/>
  <c r="M207" i="3" s="1"/>
  <c r="L144" i="3"/>
  <c r="L145" i="3" s="1"/>
  <c r="L147" i="3"/>
  <c r="L137" i="3" s="1"/>
  <c r="L119" i="3"/>
  <c r="L120" i="3" s="1"/>
  <c r="L134" i="3"/>
  <c r="K106" i="3"/>
  <c r="K105" i="3"/>
  <c r="J188" i="3"/>
  <c r="U71" i="3"/>
  <c r="J54" i="3"/>
  <c r="S22" i="3"/>
  <c r="U22" i="3" s="1"/>
  <c r="M27" i="3"/>
  <c r="N27" i="3"/>
  <c r="M60" i="3"/>
  <c r="N60" i="3" s="1"/>
  <c r="B54" i="4"/>
  <c r="B55" i="4" s="1"/>
  <c r="K70" i="3"/>
  <c r="L70" i="3" s="1"/>
  <c r="M70" i="3" s="1"/>
  <c r="N70" i="3" s="1"/>
  <c r="L32" i="3"/>
  <c r="L31" i="3" s="1"/>
  <c r="N57" i="3"/>
  <c r="M57" i="3"/>
  <c r="M56" i="3" s="1"/>
  <c r="N24" i="3"/>
  <c r="M24" i="3"/>
  <c r="I8" i="3"/>
  <c r="J68" i="3"/>
  <c r="L64" i="3"/>
  <c r="K52" i="3"/>
  <c r="K53" i="3" s="1"/>
  <c r="K54" i="3" s="1"/>
  <c r="N65" i="3"/>
  <c r="M65" i="3"/>
  <c r="G56" i="4"/>
  <c r="G69" i="4"/>
  <c r="E56" i="4"/>
  <c r="E69" i="4"/>
  <c r="C54" i="4"/>
  <c r="C55" i="4" s="1"/>
  <c r="C53" i="4"/>
  <c r="H56" i="4"/>
  <c r="H69" i="4"/>
  <c r="F56" i="4"/>
  <c r="F69" i="4"/>
  <c r="M208" i="3" l="1"/>
  <c r="M209" i="3"/>
  <c r="L135" i="3"/>
  <c r="L141" i="3"/>
  <c r="L184" i="3"/>
  <c r="L195" i="3"/>
  <c r="N119" i="3"/>
  <c r="N120" i="3" s="1"/>
  <c r="N144" i="3"/>
  <c r="N145" i="3" s="1"/>
  <c r="N147" i="3"/>
  <c r="N137" i="3" s="1"/>
  <c r="N134" i="3"/>
  <c r="N212" i="3"/>
  <c r="N210" i="3" s="1"/>
  <c r="M210" i="3"/>
  <c r="M211" i="3" s="1"/>
  <c r="J190" i="3"/>
  <c r="S67" i="3" s="1"/>
  <c r="U67" i="3" s="1"/>
  <c r="J189" i="3"/>
  <c r="K110" i="3"/>
  <c r="K109" i="3"/>
  <c r="N209" i="3"/>
  <c r="N208" i="3"/>
  <c r="L138" i="3"/>
  <c r="M144" i="3"/>
  <c r="M145" i="3" s="1"/>
  <c r="M147" i="3"/>
  <c r="M137" i="3" s="1"/>
  <c r="M119" i="3"/>
  <c r="M120" i="3" s="1"/>
  <c r="M134" i="3"/>
  <c r="L188" i="3"/>
  <c r="L182" i="3"/>
  <c r="M204" i="3"/>
  <c r="M205" i="3"/>
  <c r="N179" i="3"/>
  <c r="N205" i="3" s="1"/>
  <c r="M194" i="3"/>
  <c r="M181" i="3"/>
  <c r="M191" i="3"/>
  <c r="M192" i="3" s="1"/>
  <c r="K190" i="3"/>
  <c r="K189" i="3"/>
  <c r="N114" i="3"/>
  <c r="N104" i="3" s="1"/>
  <c r="N111" i="3"/>
  <c r="N112" i="3" s="1"/>
  <c r="N101" i="3"/>
  <c r="N86" i="3"/>
  <c r="N87" i="3" s="1"/>
  <c r="K142" i="3"/>
  <c r="K143" i="3"/>
  <c r="L108" i="3"/>
  <c r="L102" i="3"/>
  <c r="L105" i="3"/>
  <c r="N204" i="3"/>
  <c r="M111" i="3"/>
  <c r="M112" i="3" s="1"/>
  <c r="M114" i="3"/>
  <c r="M104" i="3" s="1"/>
  <c r="M86" i="3"/>
  <c r="M87" i="3" s="1"/>
  <c r="M101" i="3"/>
  <c r="K186" i="3"/>
  <c r="K185" i="3"/>
  <c r="K139" i="3"/>
  <c r="B56" i="4"/>
  <c r="B69" i="4"/>
  <c r="B71" i="4" s="1"/>
  <c r="N56" i="3"/>
  <c r="N32" i="3"/>
  <c r="M32" i="3"/>
  <c r="M31" i="3" s="1"/>
  <c r="K68" i="3"/>
  <c r="M64" i="3"/>
  <c r="L52" i="3"/>
  <c r="L53" i="3" s="1"/>
  <c r="L54" i="3" s="1"/>
  <c r="J69" i="3"/>
  <c r="I6" i="4"/>
  <c r="I9" i="3"/>
  <c r="I10" i="3"/>
  <c r="I47" i="4"/>
  <c r="I11" i="3"/>
  <c r="T6" i="3" s="1"/>
  <c r="C56" i="4"/>
  <c r="C69" i="4"/>
  <c r="N211" i="3" l="1"/>
  <c r="M105" i="3"/>
  <c r="N105" i="3"/>
  <c r="M102" i="3"/>
  <c r="M108" i="3"/>
  <c r="M182" i="3"/>
  <c r="M184" i="3"/>
  <c r="M195" i="3"/>
  <c r="N138" i="3"/>
  <c r="N139" i="3"/>
  <c r="M135" i="3"/>
  <c r="M141" i="3"/>
  <c r="M139" i="3"/>
  <c r="M138" i="3"/>
  <c r="L143" i="3"/>
  <c r="L142" i="3"/>
  <c r="L109" i="3"/>
  <c r="L110" i="3"/>
  <c r="L139" i="3"/>
  <c r="N108" i="3"/>
  <c r="N102" i="3"/>
  <c r="N194" i="3"/>
  <c r="N191" i="3"/>
  <c r="N192" i="3" s="1"/>
  <c r="N181" i="3"/>
  <c r="N141" i="3"/>
  <c r="N135" i="3"/>
  <c r="L190" i="3"/>
  <c r="L189" i="3"/>
  <c r="L106" i="3"/>
  <c r="L186" i="3"/>
  <c r="L185" i="3"/>
  <c r="C70" i="4"/>
  <c r="C71" i="4" s="1"/>
  <c r="B72" i="4"/>
  <c r="N31" i="3"/>
  <c r="K74" i="3"/>
  <c r="L74" i="3" s="1"/>
  <c r="M74" i="3" s="1"/>
  <c r="N74" i="3" s="1"/>
  <c r="L68" i="3"/>
  <c r="I14" i="3"/>
  <c r="I46" i="4"/>
  <c r="I7" i="4"/>
  <c r="I13" i="3"/>
  <c r="I9" i="4" s="1"/>
  <c r="I12" i="3"/>
  <c r="I8" i="4" s="1"/>
  <c r="N64" i="3"/>
  <c r="N52" i="3" s="1"/>
  <c r="N106" i="3" s="1"/>
  <c r="M52" i="3"/>
  <c r="M53" i="3" s="1"/>
  <c r="M54" i="3" s="1"/>
  <c r="K69" i="3"/>
  <c r="M142" i="3" l="1"/>
  <c r="M143" i="3"/>
  <c r="M186" i="3"/>
  <c r="M185" i="3"/>
  <c r="N143" i="3"/>
  <c r="N142" i="3"/>
  <c r="N182" i="3"/>
  <c r="M106" i="3"/>
  <c r="M188" i="3"/>
  <c r="M110" i="3"/>
  <c r="M109" i="3"/>
  <c r="N184" i="3"/>
  <c r="N195" i="3"/>
  <c r="N110" i="3"/>
  <c r="N109" i="3"/>
  <c r="D70" i="4"/>
  <c r="D71" i="4" s="1"/>
  <c r="D72" i="4" s="1"/>
  <c r="C72" i="4"/>
  <c r="I49" i="4"/>
  <c r="I54" i="4" s="1"/>
  <c r="I55" i="4" s="1"/>
  <c r="N53" i="3"/>
  <c r="N54" i="3" s="1"/>
  <c r="M68" i="3"/>
  <c r="N68" i="3"/>
  <c r="I15" i="3"/>
  <c r="I16" i="3"/>
  <c r="L69" i="3"/>
  <c r="N185" i="3" l="1"/>
  <c r="N186" i="3"/>
  <c r="M190" i="3"/>
  <c r="M189" i="3"/>
  <c r="N188" i="3"/>
  <c r="E70" i="4"/>
  <c r="E71" i="4" s="1"/>
  <c r="E72" i="4" s="1"/>
  <c r="I53" i="4"/>
  <c r="I17" i="3"/>
  <c r="K80" i="3"/>
  <c r="J78" i="3"/>
  <c r="J79" i="3" s="1"/>
  <c r="I56" i="4"/>
  <c r="I69" i="4"/>
  <c r="N69" i="3"/>
  <c r="M69" i="3"/>
  <c r="J1" i="4"/>
  <c r="K1" i="4" s="1"/>
  <c r="L1" i="4" s="1"/>
  <c r="M1" i="4" s="1"/>
  <c r="N1" i="4" s="1"/>
  <c r="N190" i="3" l="1"/>
  <c r="N189" i="3"/>
  <c r="F70" i="4"/>
  <c r="F71" i="4" s="1"/>
  <c r="F72" i="4" s="1"/>
  <c r="I18" i="3"/>
  <c r="I19" i="3"/>
  <c r="L80" i="3"/>
  <c r="K78" i="3"/>
  <c r="K79" i="3" s="1"/>
  <c r="K83" i="3"/>
  <c r="J82" i="3"/>
  <c r="J81" i="3"/>
  <c r="J71" i="3" s="1"/>
  <c r="J73" i="3" s="1"/>
  <c r="G70" i="4" l="1"/>
  <c r="G71" i="4" s="1"/>
  <c r="J72" i="3"/>
  <c r="J75" i="3"/>
  <c r="J77" i="3" s="1"/>
  <c r="L83" i="3"/>
  <c r="K82" i="3"/>
  <c r="K81" i="3"/>
  <c r="K71" i="3" s="1"/>
  <c r="M80" i="3"/>
  <c r="L78" i="3"/>
  <c r="L79" i="3" s="1"/>
  <c r="H70" i="4"/>
  <c r="H71" i="4" s="1"/>
  <c r="G72" i="4"/>
  <c r="J76" i="3" l="1"/>
  <c r="S30" i="3" s="1"/>
  <c r="U30" i="3" s="1"/>
  <c r="S29" i="3"/>
  <c r="U29" i="3" s="1"/>
  <c r="N80" i="3"/>
  <c r="N78" i="3" s="1"/>
  <c r="M78" i="3"/>
  <c r="M79" i="3" s="1"/>
  <c r="K72" i="3"/>
  <c r="K73" i="3"/>
  <c r="K75" i="3"/>
  <c r="M83" i="3"/>
  <c r="L82" i="3"/>
  <c r="L81" i="3"/>
  <c r="L71" i="3" s="1"/>
  <c r="I70" i="4"/>
  <c r="I71" i="4" s="1"/>
  <c r="I72" i="4" s="1"/>
  <c r="H72" i="4"/>
  <c r="K76" i="3" l="1"/>
  <c r="K77" i="3"/>
  <c r="L73" i="3"/>
  <c r="L72" i="3"/>
  <c r="L75" i="3"/>
  <c r="N83" i="3"/>
  <c r="M82" i="3"/>
  <c r="M81" i="3"/>
  <c r="M71" i="3" s="1"/>
  <c r="N79" i="3"/>
  <c r="L76" i="3" l="1"/>
  <c r="L77" i="3"/>
  <c r="M73" i="3"/>
  <c r="M72" i="3"/>
  <c r="M75" i="3"/>
  <c r="N82" i="3"/>
  <c r="N81" i="3"/>
  <c r="N71" i="3" s="1"/>
  <c r="M76" i="3" l="1"/>
  <c r="M77" i="3"/>
  <c r="N72" i="3"/>
  <c r="N73" i="3"/>
  <c r="N75" i="3"/>
  <c r="N76" i="3" l="1"/>
  <c r="N77" i="3"/>
  <c r="J23" i="3"/>
  <c r="J21" i="3" l="1"/>
  <c r="S11" i="3"/>
  <c r="K23" i="3"/>
  <c r="L23" i="3" s="1"/>
  <c r="L21" i="3" s="1"/>
  <c r="S55" i="3" l="1"/>
  <c r="U55" i="3" s="1"/>
  <c r="J35" i="3"/>
  <c r="J36" i="3" s="1"/>
  <c r="L35" i="3"/>
  <c r="L45" i="3"/>
  <c r="L48" i="3"/>
  <c r="S9" i="3"/>
  <c r="U11" i="3"/>
  <c r="J22" i="3"/>
  <c r="S10" i="3" s="1"/>
  <c r="U10" i="3" s="1"/>
  <c r="J48" i="3"/>
  <c r="J45" i="3"/>
  <c r="J46" i="3" s="1"/>
  <c r="S43" i="3"/>
  <c r="U43" i="3" s="1"/>
  <c r="S31" i="3"/>
  <c r="U31" i="3" s="1"/>
  <c r="M23" i="3"/>
  <c r="M21" i="3" s="1"/>
  <c r="K21" i="3"/>
  <c r="J49" i="3" l="1"/>
  <c r="J38" i="3"/>
  <c r="J42" i="3" s="1"/>
  <c r="K35" i="3"/>
  <c r="K45" i="3"/>
  <c r="K46" i="3" s="1"/>
  <c r="K48" i="3"/>
  <c r="L49" i="3" s="1"/>
  <c r="M35" i="3"/>
  <c r="M45" i="3"/>
  <c r="M46" i="3" s="1"/>
  <c r="M48" i="3"/>
  <c r="U9" i="3"/>
  <c r="L38" i="3"/>
  <c r="L22" i="3"/>
  <c r="N23" i="3"/>
  <c r="N21" i="3" s="1"/>
  <c r="K22" i="3"/>
  <c r="M22" i="3"/>
  <c r="L46" i="3" l="1"/>
  <c r="N35" i="3"/>
  <c r="N45" i="3"/>
  <c r="N46" i="3" s="1"/>
  <c r="N48" i="3"/>
  <c r="L40" i="3"/>
  <c r="M38" i="3"/>
  <c r="M49" i="3"/>
  <c r="K38" i="3"/>
  <c r="L39" i="3" s="1"/>
  <c r="K49" i="3"/>
  <c r="J40" i="3"/>
  <c r="J39" i="3"/>
  <c r="N22" i="3"/>
  <c r="K39" i="3" l="1"/>
  <c r="K40" i="3"/>
  <c r="M39" i="3"/>
  <c r="M40" i="3"/>
  <c r="N38" i="3"/>
  <c r="N49" i="3"/>
  <c r="S18" i="3"/>
  <c r="U18" i="3" s="1"/>
  <c r="N40" i="3" l="1"/>
  <c r="N39" i="3"/>
  <c r="N36" i="3"/>
  <c r="M36" i="3"/>
  <c r="L36" i="3"/>
  <c r="K36" i="3"/>
  <c r="L42" i="3"/>
  <c r="L44" i="3" s="1"/>
  <c r="K42" i="3"/>
  <c r="K44" i="3" s="1"/>
  <c r="N42" i="3"/>
  <c r="N44" i="3" s="1"/>
  <c r="M42" i="3"/>
  <c r="M44" i="3" s="1"/>
  <c r="J44" i="3"/>
  <c r="J43" i="3"/>
  <c r="S17" i="3" l="1"/>
  <c r="L43" i="3"/>
  <c r="K43" i="3"/>
  <c r="M43" i="3"/>
  <c r="N43" i="3"/>
  <c r="U17" i="3" l="1"/>
  <c r="J17" i="3"/>
  <c r="J19" i="3" s="1"/>
  <c r="J165" i="3"/>
  <c r="J14" i="3" s="1"/>
  <c r="J166" i="3"/>
  <c r="S57" i="3"/>
  <c r="U3" i="3" s="1"/>
  <c r="U57" i="3"/>
  <c r="J158" i="3"/>
  <c r="J159" i="3"/>
  <c r="J155" i="3"/>
  <c r="J162" i="3" s="1"/>
  <c r="J156" i="3"/>
  <c r="J168" i="3"/>
  <c r="J169" i="3"/>
  <c r="J152" i="3"/>
  <c r="J3" i="3"/>
  <c r="J4" i="3" s="1"/>
  <c r="S4" i="3" s="1"/>
  <c r="U4" i="3" s="1"/>
  <c r="J163" i="3" l="1"/>
  <c r="J164" i="3"/>
  <c r="S61" i="3" s="1"/>
  <c r="U61" i="3" s="1"/>
  <c r="S59" i="3"/>
  <c r="J9" i="3"/>
  <c r="J10" i="3"/>
  <c r="J16" i="3"/>
  <c r="J15" i="3"/>
  <c r="J160" i="3"/>
  <c r="J7" i="3"/>
  <c r="J18" i="3"/>
  <c r="J6" i="3"/>
  <c r="J13" i="3" l="1"/>
  <c r="S7" i="3" s="1"/>
  <c r="U7" i="3" s="1"/>
  <c r="J12" i="3"/>
  <c r="U6" i="3" s="1"/>
  <c r="U59" i="3"/>
  <c r="U5" i="3"/>
  <c r="L3" i="3"/>
  <c r="L4" i="3" s="1"/>
  <c r="L17" i="3"/>
  <c r="L19" i="3"/>
  <c r="M158" i="3"/>
  <c r="M3" i="3"/>
  <c r="M4" i="3" s="1"/>
  <c r="L165" i="3"/>
  <c r="L166" i="3" s="1"/>
  <c r="N165" i="3"/>
  <c r="N14" i="3"/>
  <c r="N6" i="3"/>
  <c r="N7" i="3"/>
  <c r="M165" i="3"/>
  <c r="M14" i="3" s="1"/>
  <c r="N169" i="3"/>
  <c r="N156" i="3"/>
  <c r="K3" i="3"/>
  <c r="K4" i="3" s="1"/>
  <c r="N3" i="3"/>
  <c r="N16" i="3" s="1"/>
  <c r="K156" i="3"/>
  <c r="M168" i="3"/>
  <c r="M169" i="3" s="1"/>
  <c r="M17" i="3"/>
  <c r="M18" i="3" s="1"/>
  <c r="M19" i="3"/>
  <c r="M155" i="3"/>
  <c r="M156" i="3" s="1"/>
  <c r="M5" i="3"/>
  <c r="M6" i="3" s="1"/>
  <c r="N155" i="3"/>
  <c r="N5" i="3"/>
  <c r="L152" i="3"/>
  <c r="K168" i="3"/>
  <c r="K17" i="3" s="1"/>
  <c r="N168" i="3"/>
  <c r="N158" i="3" s="1"/>
  <c r="N17" i="3"/>
  <c r="N19" i="3" s="1"/>
  <c r="N18" i="3"/>
  <c r="K16" i="3"/>
  <c r="K165" i="3"/>
  <c r="K166" i="3" s="1"/>
  <c r="K14" i="3"/>
  <c r="K15" i="3" s="1"/>
  <c r="N152" i="3"/>
  <c r="L168" i="3"/>
  <c r="L158" i="3" s="1"/>
  <c r="M152" i="3"/>
  <c r="K5" i="3"/>
  <c r="K6" i="3" s="1"/>
  <c r="L155" i="3"/>
  <c r="L156" i="3" s="1"/>
  <c r="L5" i="3"/>
  <c r="L7" i="3" s="1"/>
  <c r="K152" i="3"/>
  <c r="K155" i="3"/>
  <c r="L160" i="3" l="1"/>
  <c r="L8" i="3"/>
  <c r="K18" i="3"/>
  <c r="K19" i="3"/>
  <c r="N15" i="3"/>
  <c r="M159" i="3"/>
  <c r="M16" i="3"/>
  <c r="N160" i="3"/>
  <c r="N8" i="3"/>
  <c r="N159" i="3"/>
  <c r="N162" i="3"/>
  <c r="L18" i="3"/>
  <c r="M160" i="3"/>
  <c r="L162" i="3"/>
  <c r="L169" i="3"/>
  <c r="N166" i="3"/>
  <c r="N4" i="3"/>
  <c r="M7" i="3"/>
  <c r="L6" i="3"/>
  <c r="K7" i="3"/>
  <c r="M162" i="3"/>
  <c r="K158" i="3"/>
  <c r="K169" i="3"/>
  <c r="M166" i="3"/>
  <c r="L14" i="3"/>
  <c r="M8" i="3"/>
  <c r="L164" i="3" l="1"/>
  <c r="N163" i="3"/>
  <c r="N164" i="3"/>
  <c r="L16" i="3"/>
  <c r="L15" i="3"/>
  <c r="N11" i="3"/>
  <c r="N9" i="3"/>
  <c r="N10" i="3"/>
  <c r="M15" i="3"/>
  <c r="K162" i="3"/>
  <c r="K160" i="3"/>
  <c r="K8" i="3"/>
  <c r="K159" i="3"/>
  <c r="M11" i="3"/>
  <c r="M9" i="3"/>
  <c r="M10" i="3"/>
  <c r="M164" i="3"/>
  <c r="M163" i="3"/>
  <c r="L10" i="3"/>
  <c r="L11" i="3"/>
  <c r="L159" i="3"/>
  <c r="N12" i="3" l="1"/>
  <c r="N13" i="3"/>
  <c r="M13" i="3"/>
  <c r="M12" i="3"/>
  <c r="K10" i="3"/>
  <c r="K11" i="3"/>
  <c r="K9" i="3"/>
  <c r="K164" i="3"/>
  <c r="K163" i="3"/>
  <c r="L13" i="3"/>
  <c r="L12" i="3"/>
  <c r="L9" i="3"/>
  <c r="L163" i="3"/>
  <c r="K13" i="3" l="1"/>
  <c r="K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<sst xmlns="http://schemas.openxmlformats.org/spreadsheetml/2006/main" count="674" uniqueCount="232">
  <si>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</si>
  <si>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</si>
  <si>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</si>
  <si>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</si>
  <si>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</si>
  <si>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</si>
  <si>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</si>
  <si>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</si>
  <si>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</si>
  <si>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</si>
  <si>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</si>
  <si>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</si>
  <si>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</si>
  <si>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</si>
  <si>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</si>
  <si>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</si>
  <si>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</si>
  <si>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</si>
  <si>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</si>
  <si>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</si>
  <si>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</si>
  <si>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</si>
  <si>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</si>
  <si>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</si>
  <si>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</si>
  <si>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</si>
  <si>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</si>
  <si>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</si>
  <si>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</si>
  <si>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</si>
  <si>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</si>
  <si>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</si>
  <si>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</si>
  <si>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</si>
  <si>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</si>
  <si>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</si>
  <si>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</si>
  <si>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</si>
  <si>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</si>
  <si>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</si>
  <si>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</si>
  <si>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</si>
  <si>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</si>
  <si>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</si>
  <si>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</si>
  <si>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</si>
  <si>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</si>
  <si>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</si>
  <si>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</si>
  <si>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</si>
  <si>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</si>
  <si>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</si>
  <si>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</si>
  <si>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</si>
  <si>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</si>
  <si>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</si>
  <si>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</si>
  <si>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</si>
  <si>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</si>
  <si>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</si>
  <si>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</si>
  <si>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</si>
  <si>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</si>
  <si>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</si>
  <si>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</si>
  <si>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</si>
  <si>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</si>
  <si>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</si>
  <si>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</si>
  <si>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</si>
  <si>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</si>
  <si>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</si>
  <si>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</si>
  <si>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</si>
  <si>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</si>
  <si>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</si>
  <si>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</si>
  <si>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</si>
  <si>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</si>
  <si>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</si>
  <si>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</si>
  <si>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</si>
  <si>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</si>
  <si>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</si>
  <si>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</si>
  <si>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</si>
  <si>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</si>
  <si>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</si>
  <si>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</si>
  <si>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</si>
  <si>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</si>
  <si>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</si>
  <si>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</si>
  <si>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</si>
  <si>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</si>
  <si>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</si>
  <si>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</si>
  <si>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</si>
  <si>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</si>
  <si>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</si>
  <si>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</si>
  <si>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</si>
  <si>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</si>
  <si>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</si>
  <si>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</si>
  <si>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</si>
  <si>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</si>
  <si>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</si>
  <si>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</si>
  <si>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</si>
  <si>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</si>
  <si>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</si>
  <si>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</si>
  <si>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</si>
  <si>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</si>
  <si>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</si>
  <si>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</si>
  <si>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</si>
  <si>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</si>
  <si>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</si>
  <si>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</si>
  <si>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</si>
  <si>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</si>
  <si>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</si>
  <si>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</si>
  <si>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</si>
  <si>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</si>
  <si>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</si>
  <si>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</si>
  <si>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</si>
  <si>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</si>
  <si>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</si>
  <si>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</si>
  <si>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</si>
  <si>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</si>
  <si>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</si>
  <si>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</si>
  <si>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</si>
  <si>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</si>
  <si>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</si>
  <si>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</si>
  <si>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</si>
  <si>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</si>
  <si>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</si>
  <si>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</si>
  <si>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</si>
  <si>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</si>
  <si>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</si>
  <si>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</si>
  <si>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</si>
  <si>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</si>
  <si>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</si>
  <si>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</si>
  <si>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</si>
  <si>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</si>
  <si>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</si>
  <si>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</si>
  <si>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</si>
  <si>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</si>
  <si>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</si>
  <si>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</si>
  <si>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</si>
  <si>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</si>
  <si>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</si>
  <si>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</si>
  <si>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</si>
  <si>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</si>
  <si>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</si>
  <si>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</si>
  <si>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</si>
  <si>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</si>
  <si>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</si>
  <si>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</si>
  <si>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</si>
  <si>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</si>
  <si>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</si>
  <si>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</si>
  <si>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</si>
  <si>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</si>
  <si>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</si>
  <si>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</si>
  <si>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</si>
  <si>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</si>
  <si>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</si>
  <si>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</si>
  <si>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</si>
  <si>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</si>
  <si>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</si>
  <si>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</si>
  <si>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</si>
  <si>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</si>
  <si>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</si>
  <si>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</si>
  <si>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</si>
  <si>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</si>
  <si>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</si>
  <si>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Discontinued Segments</t>
  </si>
  <si>
    <t>Cashflow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</si>
  <si>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</si>
  <si>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</si>
  <si>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</si>
  <si>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</si>
  <si>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</si>
  <si>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</si>
  <si>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</si>
  <si>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</si>
  <si>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NIKE Announces Senior Leadership Changes to Deepen Consumer-Led Growth and Marketplace Advantage</t>
  </si>
  <si>
    <t>2023 News</t>
  </si>
  <si>
    <t>Maria Henry to Join NIKE, Inc. Board of Directors</t>
  </si>
  <si>
    <t>For the full year we expect Fiscal ’24 reported revenue to grow mid-single digits</t>
  </si>
  <si>
    <t>https://s1.q4cdn.com/806093406/files/doc_financials/2023/q4/NIKE-Inc-Q4FY23-OFFICIAL-Transcript.pdf</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</si>
  <si>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</si>
  <si>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</si>
  <si>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</si>
  <si>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</si>
  <si>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</si>
  <si>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Forecasted EBITDA- Forecasted DA</t>
  </si>
  <si>
    <t>Forecast based on 2015-2019 and 2022 average organic growth</t>
  </si>
  <si>
    <t>Forecast based on 2015-2019 and 2022 average margin %</t>
  </si>
  <si>
    <t>Forecast based on 2015-2019 and 2022 average % of PPE</t>
  </si>
  <si>
    <t>Forecast based on 2015-2019 and 2022 average % of revenue</t>
  </si>
  <si>
    <t>Forecast based on 2017-2019 and 2022 average % of PPE</t>
  </si>
  <si>
    <t>Forecast based on 2018-2019 and 2022 average margin %</t>
  </si>
  <si>
    <t>Forecast based on 2017-2019 and 2022 average organic growth</t>
  </si>
  <si>
    <t>Forecast based on 2018-2019 and 2022 average % of revenue</t>
  </si>
  <si>
    <t>Forecast based on 2016-2019 and 2022 average growth</t>
  </si>
  <si>
    <t>Value NOT forecasted due to high unpredictability and misleading outcomes</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</si>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</sst>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5" fontId="1" fillId="0" borderId="0" xfId="1" applyNumberFormat="1" applyFont="1" applyAlignment="1">
      <alignment horizontal="left"/>
    </xf>
    <xf numFmtId="165" fontId="11" fillId="0" borderId="0" xfId="1" applyNumberFormat="1" applyFont="1" applyAlignment="1">
      <alignment horizontal="left"/>
    </xf>
    <xf numFmtId="0" fontId="6" fillId="4" borderId="0" xfId="4" applyFont="1"/>
    <xf numFmtId="0" fontId="0" fillId="0" borderId="0" xfId="0" applyAlignment="1">
      <alignment horizontal="left"/>
    </xf>
    <xf numFmtId="166" fontId="11" fillId="0" borderId="0" xfId="2" applyNumberFormat="1" applyFont="1" applyBorder="1" applyAlignment="1">
      <alignment horizontal="right"/>
    </xf>
    <xf numFmtId="165" fontId="1" fillId="0" borderId="0" xfId="1" applyNumberFormat="1" applyFont="1"/>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165" fontId="0" fillId="0" borderId="0" xfId="0" applyNumberFormat="1"/>
    <xf numFmtId="165" fontId="14" fillId="8" borderId="0" xfId="1" applyNumberFormat="1" applyFont="1" applyFill="1"/>
    <xf numFmtId="164" fontId="5" fillId="0" borderId="0" xfId="1" applyFont="1" applyBorder="1"/>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6"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165" fontId="19" fillId="5" borderId="0" xfId="5" applyNumberFormat="1" applyFont="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5" fillId="0" borderId="0" xfId="1" applyFont="1" applyBorder="1"/>
    <xf numFmtId="165" fontId="5" fillId="0" borderId="0" xfId="1" applyNumberFormat="1" applyFont="1" applyFill="1" applyBorder="1"/>
    <xf numFmtId="166" fontId="9" fillId="0" borderId="0" xfId="2" applyNumberFormat="1" applyFont="1" applyFill="1" applyAlignment="1">
      <alignment horizontal="right"/>
    </xf>
    <xf numFmtId="0" fontId="0" fillId="0" borderId="0" xfId="0" applyAlignment="1">
      <alignment vertical="center" wrapText="1"/>
    </xf>
    <xf numFmtId="0" fontId="19" fillId="0" borderId="0" xfId="0" applyFont="1" applyAlignment="1">
      <alignment horizontal="center" vertical="center" wrapText="1"/>
    </xf>
    <xf numFmtId="0" fontId="16" fillId="0" borderId="0" xfId="0" applyFont="1"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165" fontId="11" fillId="0" borderId="0" xfId="1" applyNumberFormat="1" applyFont="1" applyFill="1" applyAlignment="1">
      <alignment horizontal="left" indent="1"/>
    </xf>
    <xf numFmtId="166" fontId="12" fillId="0" borderId="0" xfId="2" applyNumberFormat="1" applyFont="1" applyFill="1"/>
    <xf numFmtId="165" fontId="19" fillId="0" borderId="0" xfId="5" applyNumberFormat="1" applyFont="1" applyFill="1"/>
    <xf numFmtId="0" fontId="16" fillId="0" borderId="0" xfId="0" applyFont="1"/>
    <xf numFmtId="0" fontId="16" fillId="0" borderId="0" xfId="0" applyFont="1" applyAlignment="1">
      <alignment horizontal="center" vertical="center"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1.q4cdn.com/806093406/files/doc_financials/2023/q4/NIKE-Inc-Q4FY23-OFFICIAL-Transcri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3"/>
  <sheetViews>
    <sheetView workbookViewId="0">
      <selection activeCell="A2" sqref="A2"/>
    </sheetView>
  </sheetViews>
  <sheetFormatPr defaultRowHeight="14.5" x14ac:dyDescent="0.35"/>
  <cols>
    <col min="1" max="1" width="176.08984375" style="19" customWidth="1"/>
  </cols>
  <sheetData>
    <row r="1" spans="1:1" ht="23.5" x14ac:dyDescent="0.55000000000000004">
      <c r="A1" s="18" t="s">
        <v>20</v>
      </c>
    </row>
    <row r="2" spans="1:1" x14ac:dyDescent="0.35">
      <c r="A2" t="s">
        <v>198</v>
      </c>
    </row>
    <row r="3" spans="1:1" x14ac:dyDescent="0.35">
      <c r="A3" s="1" t="s">
        <v>199</v>
      </c>
    </row>
    <row r="4" spans="1:1" x14ac:dyDescent="0.35">
      <c r="A4" t="s">
        <v>200</v>
      </c>
    </row>
    <row r="5" spans="1:1" x14ac:dyDescent="0.35">
      <c r="A5" s="2" t="s">
        <v>201</v>
      </c>
    </row>
    <row r="6" spans="1:1" x14ac:dyDescent="0.35">
      <c r="A6" t="s">
        <v>202</v>
      </c>
    </row>
    <row r="7" spans="1:1" x14ac:dyDescent="0.35">
      <c r="A7" t="s">
        <v>203</v>
      </c>
    </row>
    <row r="8" spans="1:1" x14ac:dyDescent="0.35">
      <c r="A8" t="s">
        <v>204</v>
      </c>
    </row>
    <row r="9" spans="1:1" x14ac:dyDescent="0.35">
      <c r="A9" t="s">
        <v>205</v>
      </c>
    </row>
    <row r="11" spans="1:1" x14ac:dyDescent="0.35">
      <c r="A11" s="20"/>
    </row>
    <row r="12" spans="1:1" x14ac:dyDescent="0.35">
      <c r="A12" s="20"/>
    </row>
    <row r="13" spans="1:1" x14ac:dyDescent="0.35">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45"/>
  <sheetViews>
    <sheetView workbookViewId="0">
      <pane ySplit="1" topLeftCell="A166" activePane="bottomLeft" state="frozen"/>
      <selection pane="bottomLeft" activeCell="J187" sqref="J187"/>
    </sheetView>
  </sheetViews>
  <sheetFormatPr defaultColWidth="8.81640625" defaultRowHeight="14.5" x14ac:dyDescent="0.35"/>
  <cols>
    <col min="1" max="1" width="78.1796875" customWidth="1"/>
    <col min="2" max="7" width="9" bestFit="1" customWidth="1"/>
    <col min="8" max="8" width="10.453125" bestFit="1" customWidth="1"/>
    <col min="9" max="9" width="10.6328125" bestFit="1" customWidth="1"/>
  </cols>
  <sheetData>
    <row r="1" spans="1:9"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3" t="s">
        <v>28</v>
      </c>
      <c r="B3" s="24">
        <v>16534</v>
      </c>
      <c r="C3" s="24">
        <v>17405</v>
      </c>
      <c r="D3" s="24">
        <v>19038</v>
      </c>
      <c r="E3" s="24">
        <v>20441</v>
      </c>
      <c r="F3" s="24">
        <v>21643</v>
      </c>
      <c r="G3" s="24">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8">
        <v>3213</v>
      </c>
      <c r="C5" s="8">
        <v>3278</v>
      </c>
      <c r="D5" s="8">
        <v>3341</v>
      </c>
      <c r="E5" s="8">
        <v>3577</v>
      </c>
      <c r="F5" s="8">
        <v>3753</v>
      </c>
      <c r="G5" s="8">
        <v>3592</v>
      </c>
      <c r="H5" s="3">
        <v>3114</v>
      </c>
      <c r="I5" s="3">
        <v>3850</v>
      </c>
    </row>
    <row r="6" spans="1:9" x14ac:dyDescent="0.35">
      <c r="A6" s="11" t="s">
        <v>22</v>
      </c>
      <c r="B6" s="8">
        <v>6679</v>
      </c>
      <c r="C6" s="8">
        <v>7191</v>
      </c>
      <c r="D6" s="3">
        <v>7222</v>
      </c>
      <c r="E6" s="8">
        <v>7934</v>
      </c>
      <c r="F6" s="8">
        <v>8949</v>
      </c>
      <c r="G6" s="3">
        <v>9534</v>
      </c>
      <c r="H6" s="3">
        <v>9911</v>
      </c>
      <c r="I6" s="3">
        <v>10954</v>
      </c>
    </row>
    <row r="7" spans="1:9" x14ac:dyDescent="0.35">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24</v>
      </c>
      <c r="B8" s="3">
        <v>28</v>
      </c>
      <c r="C8">
        <v>19</v>
      </c>
      <c r="D8">
        <v>59</v>
      </c>
      <c r="E8">
        <v>54</v>
      </c>
      <c r="F8">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s="57">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s="57">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8">
        <v>4249</v>
      </c>
      <c r="F25" s="8">
        <v>4466</v>
      </c>
      <c r="G25" s="8">
        <v>8348</v>
      </c>
      <c r="H25" s="3">
        <v>9889</v>
      </c>
      <c r="I25" s="3">
        <v>8574</v>
      </c>
    </row>
    <row r="26" spans="1:9" x14ac:dyDescent="0.35">
      <c r="A26" s="11" t="s">
        <v>33</v>
      </c>
      <c r="B26" s="3">
        <v>2072</v>
      </c>
      <c r="C26" s="3">
        <v>2319</v>
      </c>
      <c r="D26" s="3">
        <v>2371</v>
      </c>
      <c r="E26">
        <v>996</v>
      </c>
      <c r="F26">
        <v>197</v>
      </c>
      <c r="G26" s="3">
        <v>439</v>
      </c>
      <c r="H26" s="3">
        <v>3587</v>
      </c>
      <c r="I26" s="3">
        <v>4423</v>
      </c>
    </row>
    <row r="27" spans="1:9" x14ac:dyDescent="0.35">
      <c r="A27" s="11" t="s">
        <v>34</v>
      </c>
      <c r="B27" s="3">
        <v>3358</v>
      </c>
      <c r="C27" s="3">
        <v>3241</v>
      </c>
      <c r="D27" s="3">
        <v>3677</v>
      </c>
      <c r="E27" s="8">
        <v>3498</v>
      </c>
      <c r="F27" s="8">
        <v>4272</v>
      </c>
      <c r="G27" s="8">
        <v>2749</v>
      </c>
      <c r="H27" s="3">
        <v>4463</v>
      </c>
      <c r="I27" s="3">
        <v>4667</v>
      </c>
    </row>
    <row r="28" spans="1:9" x14ac:dyDescent="0.35">
      <c r="A28" s="11" t="s">
        <v>35</v>
      </c>
      <c r="B28" s="3">
        <v>4337</v>
      </c>
      <c r="C28" s="3">
        <v>4838</v>
      </c>
      <c r="D28" s="3">
        <v>5055</v>
      </c>
      <c r="E28" s="8">
        <v>5261</v>
      </c>
      <c r="F28" s="8">
        <v>5622</v>
      </c>
      <c r="G28" s="8">
        <v>7367</v>
      </c>
      <c r="H28" s="3">
        <v>6854</v>
      </c>
      <c r="I28" s="3">
        <v>8420</v>
      </c>
    </row>
    <row r="29" spans="1:9" x14ac:dyDescent="0.35">
      <c r="A29" s="11" t="s">
        <v>36</v>
      </c>
      <c r="B29" s="3">
        <v>1968</v>
      </c>
      <c r="C29" s="3">
        <v>1489</v>
      </c>
      <c r="D29" s="3">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8">
        <v>4454</v>
      </c>
      <c r="F31" s="8">
        <v>4744</v>
      </c>
      <c r="G31" s="8">
        <v>4866</v>
      </c>
      <c r="H31" s="3">
        <v>4904</v>
      </c>
      <c r="I31" s="3">
        <v>4791</v>
      </c>
    </row>
    <row r="32" spans="1:9" x14ac:dyDescent="0.35">
      <c r="A32" s="2" t="s">
        <v>38</v>
      </c>
      <c r="B32" s="3">
        <v>0</v>
      </c>
      <c r="C32" s="3">
        <v>0</v>
      </c>
      <c r="D32" s="3">
        <v>0</v>
      </c>
      <c r="E32" s="3">
        <v>0</v>
      </c>
      <c r="F32" s="3">
        <v>0</v>
      </c>
      <c r="G32" s="8">
        <v>3097</v>
      </c>
      <c r="H32" s="3">
        <v>3113</v>
      </c>
      <c r="I32" s="3">
        <v>2926</v>
      </c>
    </row>
    <row r="33" spans="1:12" x14ac:dyDescent="0.35">
      <c r="A33" s="2" t="s">
        <v>39</v>
      </c>
      <c r="B33" s="3">
        <v>281</v>
      </c>
      <c r="C33" s="3">
        <v>281</v>
      </c>
      <c r="D33" s="3">
        <v>283</v>
      </c>
      <c r="E33">
        <v>285</v>
      </c>
      <c r="F33" s="3">
        <v>283</v>
      </c>
      <c r="G33" s="3">
        <v>274</v>
      </c>
      <c r="H33" s="3">
        <v>269</v>
      </c>
      <c r="I33" s="3">
        <v>286</v>
      </c>
    </row>
    <row r="34" spans="1:12" x14ac:dyDescent="0.35">
      <c r="A34" s="2" t="s">
        <v>40</v>
      </c>
      <c r="B34" s="3">
        <v>131</v>
      </c>
      <c r="C34" s="3">
        <v>131</v>
      </c>
      <c r="D34" s="3">
        <v>139</v>
      </c>
      <c r="E34">
        <v>154</v>
      </c>
      <c r="F34" s="3">
        <v>154</v>
      </c>
      <c r="G34" s="3">
        <v>223</v>
      </c>
      <c r="H34" s="3">
        <v>242</v>
      </c>
      <c r="I34" s="3">
        <v>284</v>
      </c>
    </row>
    <row r="35" spans="1:12" x14ac:dyDescent="0.35">
      <c r="A35" s="2" t="s">
        <v>41</v>
      </c>
      <c r="B35" s="3">
        <v>2587</v>
      </c>
      <c r="C35" s="3">
        <v>2439</v>
      </c>
      <c r="D35" s="3">
        <v>2787</v>
      </c>
      <c r="E35" s="8">
        <v>2509</v>
      </c>
      <c r="F35" s="3">
        <v>2011</v>
      </c>
      <c r="G35" s="3">
        <v>2326</v>
      </c>
      <c r="H35" s="3">
        <v>2921</v>
      </c>
      <c r="I35" s="3">
        <v>3821</v>
      </c>
    </row>
    <row r="36" spans="1:12"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12" ht="15" thickTop="1" x14ac:dyDescent="0.35">
      <c r="A37" s="1" t="s">
        <v>43</v>
      </c>
      <c r="B37" s="3"/>
      <c r="C37" s="3"/>
      <c r="D37" s="3"/>
      <c r="E37" s="3"/>
      <c r="F37" s="3"/>
      <c r="G37" s="3"/>
      <c r="H37" s="3"/>
      <c r="I37" s="3"/>
    </row>
    <row r="38" spans="1:12" x14ac:dyDescent="0.35">
      <c r="A38" s="2" t="s">
        <v>44</v>
      </c>
      <c r="B38" s="3"/>
      <c r="C38" s="3"/>
      <c r="D38" s="3"/>
      <c r="E38" s="3"/>
      <c r="F38" s="3"/>
      <c r="G38" s="3"/>
      <c r="H38" s="3"/>
      <c r="I38" s="3"/>
    </row>
    <row r="39" spans="1:12" x14ac:dyDescent="0.35">
      <c r="A39" s="11" t="s">
        <v>45</v>
      </c>
      <c r="B39" s="3">
        <v>107</v>
      </c>
      <c r="C39" s="3">
        <v>44</v>
      </c>
      <c r="D39" s="3">
        <v>6</v>
      </c>
      <c r="E39" s="3">
        <v>6</v>
      </c>
      <c r="F39" s="3">
        <v>6</v>
      </c>
      <c r="G39" s="3">
        <v>3</v>
      </c>
      <c r="H39" s="3">
        <v>0</v>
      </c>
      <c r="I39" s="3">
        <v>500</v>
      </c>
    </row>
    <row r="40" spans="1:12" x14ac:dyDescent="0.35">
      <c r="A40" s="11" t="s">
        <v>46</v>
      </c>
      <c r="B40" s="3">
        <v>74</v>
      </c>
      <c r="C40" s="3">
        <v>1</v>
      </c>
      <c r="D40" s="3">
        <v>325</v>
      </c>
      <c r="E40" s="3">
        <v>336</v>
      </c>
      <c r="F40" s="3">
        <v>9</v>
      </c>
      <c r="G40" s="3">
        <v>248</v>
      </c>
      <c r="H40" s="3">
        <v>2</v>
      </c>
      <c r="I40" s="3">
        <v>10</v>
      </c>
      <c r="J40" s="54"/>
      <c r="K40" s="54"/>
      <c r="L40" s="54"/>
    </row>
    <row r="41" spans="1:12" x14ac:dyDescent="0.35">
      <c r="A41" s="11" t="s">
        <v>11</v>
      </c>
      <c r="B41" s="3">
        <v>2131</v>
      </c>
      <c r="C41" s="3">
        <v>2191</v>
      </c>
      <c r="D41" s="3">
        <v>2048</v>
      </c>
      <c r="E41" s="3">
        <v>2279</v>
      </c>
      <c r="F41" s="3">
        <v>2612</v>
      </c>
      <c r="G41" s="3">
        <v>2248</v>
      </c>
      <c r="H41" s="3">
        <v>2836</v>
      </c>
      <c r="I41" s="3">
        <v>3358</v>
      </c>
    </row>
    <row r="42" spans="1:12" x14ac:dyDescent="0.35">
      <c r="A42" s="11" t="s">
        <v>47</v>
      </c>
      <c r="B42" s="3">
        <v>0</v>
      </c>
      <c r="C42" s="3">
        <v>0</v>
      </c>
      <c r="D42" s="3">
        <v>0</v>
      </c>
      <c r="E42" s="3">
        <v>0</v>
      </c>
      <c r="F42" s="3">
        <v>0</v>
      </c>
      <c r="G42" s="3">
        <v>445</v>
      </c>
      <c r="H42" s="3">
        <v>467</v>
      </c>
      <c r="I42" s="3">
        <v>420</v>
      </c>
    </row>
    <row r="43" spans="1:12" x14ac:dyDescent="0.35">
      <c r="A43" s="11" t="s">
        <v>12</v>
      </c>
      <c r="B43" s="3">
        <v>3949</v>
      </c>
      <c r="C43" s="3">
        <v>3037</v>
      </c>
      <c r="D43" s="3">
        <v>3011</v>
      </c>
      <c r="E43" s="3">
        <v>3269</v>
      </c>
      <c r="F43" s="3">
        <v>5010</v>
      </c>
      <c r="G43" s="3">
        <v>5184</v>
      </c>
      <c r="H43" s="3">
        <v>6063</v>
      </c>
      <c r="I43" s="3">
        <v>6220</v>
      </c>
    </row>
    <row r="44" spans="1:12" x14ac:dyDescent="0.35">
      <c r="A44" s="11" t="s">
        <v>48</v>
      </c>
      <c r="B44" s="3">
        <v>71</v>
      </c>
      <c r="C44" s="3">
        <v>85</v>
      </c>
      <c r="D44" s="3">
        <v>84</v>
      </c>
      <c r="E44" s="3">
        <v>150</v>
      </c>
      <c r="F44" s="3">
        <v>229</v>
      </c>
      <c r="G44" s="3">
        <v>156</v>
      </c>
      <c r="H44" s="3">
        <v>306</v>
      </c>
      <c r="I44" s="3">
        <v>222</v>
      </c>
    </row>
    <row r="45" spans="1:12"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12" x14ac:dyDescent="0.35">
      <c r="A46" s="2" t="s">
        <v>49</v>
      </c>
      <c r="B46" s="3">
        <v>1079</v>
      </c>
      <c r="C46" s="3">
        <v>2010</v>
      </c>
      <c r="D46" s="3">
        <v>3471</v>
      </c>
      <c r="E46" s="3">
        <v>3468</v>
      </c>
      <c r="F46" s="3">
        <v>3464</v>
      </c>
      <c r="G46" s="3">
        <v>9406</v>
      </c>
      <c r="H46" s="3">
        <v>9413</v>
      </c>
      <c r="I46" s="3">
        <v>8920</v>
      </c>
    </row>
    <row r="47" spans="1:12" x14ac:dyDescent="0.35">
      <c r="A47" s="2" t="s">
        <v>50</v>
      </c>
      <c r="B47" s="3">
        <v>0</v>
      </c>
      <c r="C47" s="3">
        <v>0</v>
      </c>
      <c r="D47" s="3">
        <v>0</v>
      </c>
      <c r="E47" s="3">
        <v>0</v>
      </c>
      <c r="F47" s="3">
        <v>0</v>
      </c>
      <c r="G47" s="3">
        <v>2913</v>
      </c>
      <c r="H47" s="3">
        <v>2931</v>
      </c>
      <c r="I47" s="3">
        <v>2777</v>
      </c>
    </row>
    <row r="48" spans="1:12" x14ac:dyDescent="0.35">
      <c r="A48" s="2" t="s">
        <v>51</v>
      </c>
      <c r="B48" s="3">
        <v>1479</v>
      </c>
      <c r="C48" s="3">
        <v>1770</v>
      </c>
      <c r="D48" s="3">
        <v>1907</v>
      </c>
      <c r="E48" s="3">
        <v>3216</v>
      </c>
      <c r="F48" s="3">
        <v>3347</v>
      </c>
      <c r="G48" s="3">
        <v>2684</v>
      </c>
      <c r="H48" s="3">
        <v>2955</v>
      </c>
      <c r="I48" s="3">
        <v>2613</v>
      </c>
    </row>
    <row r="49" spans="1:9" x14ac:dyDescent="0.35">
      <c r="A49" s="2" t="s">
        <v>52</v>
      </c>
      <c r="B49" s="3"/>
      <c r="C49" s="3"/>
      <c r="D49" s="3"/>
      <c r="E49" s="3"/>
      <c r="F49" s="3"/>
      <c r="G49" s="3"/>
      <c r="H49" s="3"/>
      <c r="I49" s="3"/>
    </row>
    <row r="50" spans="1:9" x14ac:dyDescent="0.35">
      <c r="A50" s="11" t="s">
        <v>53</v>
      </c>
      <c r="B50" s="3">
        <v>0</v>
      </c>
      <c r="C50" s="3">
        <v>0</v>
      </c>
      <c r="D50" s="3">
        <v>0</v>
      </c>
      <c r="E50" s="3">
        <v>0</v>
      </c>
      <c r="F50" s="3">
        <v>0</v>
      </c>
      <c r="G50" s="3">
        <v>0</v>
      </c>
      <c r="H50" s="3">
        <v>0</v>
      </c>
      <c r="I50" s="3">
        <v>0</v>
      </c>
    </row>
    <row r="51" spans="1:9" x14ac:dyDescent="0.35">
      <c r="A51" s="2" t="s">
        <v>54</v>
      </c>
      <c r="B51" s="3"/>
      <c r="C51" s="3"/>
      <c r="D51" s="3"/>
      <c r="E51" s="3"/>
      <c r="F51" s="3"/>
      <c r="G51" s="3"/>
      <c r="H51" s="3"/>
      <c r="I51" s="3"/>
    </row>
    <row r="52" spans="1:9" x14ac:dyDescent="0.35">
      <c r="A52" s="11" t="s">
        <v>55</v>
      </c>
      <c r="B52" s="3"/>
      <c r="C52" s="3"/>
      <c r="D52" s="3"/>
      <c r="E52" s="3"/>
      <c r="F52" s="3"/>
      <c r="G52" s="3"/>
      <c r="H52" s="3"/>
      <c r="I52" s="3"/>
    </row>
    <row r="53" spans="1:9" x14ac:dyDescent="0.35">
      <c r="A53" s="17" t="s">
        <v>56</v>
      </c>
      <c r="B53" s="3"/>
      <c r="C53" s="3"/>
      <c r="D53" s="3"/>
      <c r="E53" s="3"/>
      <c r="F53" s="3"/>
      <c r="G53" s="3"/>
      <c r="H53" s="3"/>
      <c r="I53" s="3"/>
    </row>
    <row r="54" spans="1:9" x14ac:dyDescent="0.35">
      <c r="A54" s="17" t="s">
        <v>57</v>
      </c>
      <c r="B54" s="3">
        <v>3</v>
      </c>
      <c r="C54" s="3">
        <v>3</v>
      </c>
      <c r="D54" s="3">
        <v>3</v>
      </c>
      <c r="E54" s="3">
        <v>3</v>
      </c>
      <c r="F54" s="3">
        <v>3</v>
      </c>
      <c r="G54" s="3">
        <v>3</v>
      </c>
      <c r="H54" s="3">
        <v>3</v>
      </c>
      <c r="I54" s="3">
        <v>3</v>
      </c>
    </row>
    <row r="55" spans="1:9" x14ac:dyDescent="0.35">
      <c r="A55" s="17" t="s">
        <v>58</v>
      </c>
      <c r="B55" s="3">
        <v>6773</v>
      </c>
      <c r="C55" s="3">
        <v>7786</v>
      </c>
      <c r="D55" s="3">
        <v>5710</v>
      </c>
      <c r="E55" s="3">
        <v>6384</v>
      </c>
      <c r="F55" s="3">
        <v>7163</v>
      </c>
      <c r="G55" s="3">
        <v>8299</v>
      </c>
      <c r="H55" s="3">
        <v>9965</v>
      </c>
      <c r="I55" s="3">
        <v>11484</v>
      </c>
    </row>
    <row r="56" spans="1:9" x14ac:dyDescent="0.35">
      <c r="A56" s="17" t="s">
        <v>59</v>
      </c>
      <c r="B56" s="3">
        <v>1246</v>
      </c>
      <c r="C56" s="3">
        <v>318</v>
      </c>
      <c r="D56" s="3">
        <v>-213</v>
      </c>
      <c r="E56" s="3">
        <v>-92</v>
      </c>
      <c r="F56" s="3">
        <v>231</v>
      </c>
      <c r="G56" s="3">
        <v>-56</v>
      </c>
      <c r="H56" s="3">
        <v>-380</v>
      </c>
      <c r="I56" s="3">
        <v>318</v>
      </c>
    </row>
    <row r="57" spans="1:9" x14ac:dyDescent="0.35">
      <c r="A57" s="17" t="s">
        <v>60</v>
      </c>
      <c r="B57" s="3">
        <v>4685</v>
      </c>
      <c r="C57" s="3">
        <v>4151</v>
      </c>
      <c r="D57" s="3">
        <v>6907</v>
      </c>
      <c r="E57" s="3">
        <v>3517</v>
      </c>
      <c r="F57" s="3">
        <v>1643</v>
      </c>
      <c r="G57" s="3">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58">
        <f t="shared" ref="B64:H64" si="12">+B12</f>
        <v>3273</v>
      </c>
      <c r="C64" s="58">
        <f t="shared" si="12"/>
        <v>3760</v>
      </c>
      <c r="D64" s="58">
        <f t="shared" si="12"/>
        <v>4240</v>
      </c>
      <c r="E64" s="58">
        <f t="shared" si="12"/>
        <v>1933</v>
      </c>
      <c r="F64" s="58">
        <f t="shared" si="12"/>
        <v>4029</v>
      </c>
      <c r="G64" s="58">
        <f t="shared" si="12"/>
        <v>2539</v>
      </c>
      <c r="H64" s="58">
        <f t="shared" si="12"/>
        <v>5727</v>
      </c>
      <c r="I64" s="58">
        <f>+I12</f>
        <v>6046</v>
      </c>
    </row>
    <row r="65" spans="1:15" s="1" customFormat="1" x14ac:dyDescent="0.35">
      <c r="A65" s="2" t="s">
        <v>65</v>
      </c>
      <c r="B65" s="59"/>
      <c r="C65" s="59"/>
      <c r="D65" s="59"/>
      <c r="E65" s="59"/>
      <c r="F65" s="59"/>
      <c r="G65" s="59"/>
      <c r="H65" s="59"/>
      <c r="I65" s="59"/>
    </row>
    <row r="66" spans="1:15" x14ac:dyDescent="0.35">
      <c r="A66" s="11" t="s">
        <v>66</v>
      </c>
      <c r="B66" s="59">
        <v>606</v>
      </c>
      <c r="C66" s="59">
        <v>649</v>
      </c>
      <c r="D66" s="59">
        <v>706</v>
      </c>
      <c r="E66" s="59">
        <v>747</v>
      </c>
      <c r="F66" s="59">
        <v>705</v>
      </c>
      <c r="G66" s="59">
        <v>721</v>
      </c>
      <c r="H66" s="59">
        <v>744</v>
      </c>
      <c r="I66" s="59">
        <v>717</v>
      </c>
    </row>
    <row r="67" spans="1:15" x14ac:dyDescent="0.35">
      <c r="A67" s="11" t="s">
        <v>67</v>
      </c>
      <c r="B67" s="59">
        <v>-113</v>
      </c>
      <c r="C67" s="59">
        <v>-80</v>
      </c>
      <c r="D67" s="59">
        <v>-273</v>
      </c>
      <c r="E67" s="59">
        <v>647</v>
      </c>
      <c r="F67" s="59">
        <v>34</v>
      </c>
      <c r="G67" s="59">
        <v>-380</v>
      </c>
      <c r="H67" s="59">
        <v>-385</v>
      </c>
      <c r="I67" s="59">
        <v>-650</v>
      </c>
    </row>
    <row r="68" spans="1:15" x14ac:dyDescent="0.35">
      <c r="A68" s="11" t="s">
        <v>68</v>
      </c>
      <c r="B68" s="59">
        <v>191</v>
      </c>
      <c r="C68" s="59">
        <v>236</v>
      </c>
      <c r="D68" s="59">
        <v>215</v>
      </c>
      <c r="E68" s="59">
        <v>218</v>
      </c>
      <c r="F68" s="59">
        <v>325</v>
      </c>
      <c r="G68" s="59">
        <v>429</v>
      </c>
      <c r="H68" s="59">
        <v>611</v>
      </c>
      <c r="I68" s="59">
        <v>638</v>
      </c>
    </row>
    <row r="69" spans="1:15" x14ac:dyDescent="0.35">
      <c r="A69" s="11" t="s">
        <v>69</v>
      </c>
      <c r="B69" s="59">
        <v>43</v>
      </c>
      <c r="C69" s="59">
        <v>13</v>
      </c>
      <c r="D69" s="59">
        <v>10</v>
      </c>
      <c r="E69" s="59">
        <v>27</v>
      </c>
      <c r="F69" s="59">
        <v>15</v>
      </c>
      <c r="G69" s="59">
        <v>398</v>
      </c>
      <c r="H69" s="59">
        <v>53</v>
      </c>
      <c r="I69" s="59">
        <v>123</v>
      </c>
    </row>
    <row r="70" spans="1:15" x14ac:dyDescent="0.35">
      <c r="A70" s="11" t="s">
        <v>70</v>
      </c>
      <c r="B70" s="59">
        <v>424</v>
      </c>
      <c r="C70" s="59">
        <v>98</v>
      </c>
      <c r="D70" s="59">
        <v>-117</v>
      </c>
      <c r="E70" s="59">
        <v>-99</v>
      </c>
      <c r="F70" s="59">
        <v>233</v>
      </c>
      <c r="G70" s="59">
        <v>23</v>
      </c>
      <c r="H70" s="59">
        <v>-138</v>
      </c>
      <c r="I70" s="59">
        <v>-26</v>
      </c>
    </row>
    <row r="71" spans="1:15" x14ac:dyDescent="0.35">
      <c r="A71" s="2" t="s">
        <v>71</v>
      </c>
      <c r="B71" s="59"/>
      <c r="C71" s="59"/>
      <c r="D71" s="59"/>
      <c r="E71" s="59"/>
      <c r="F71" s="59"/>
      <c r="G71" s="59"/>
      <c r="H71" s="59"/>
      <c r="I71" s="59"/>
    </row>
    <row r="72" spans="1:15" x14ac:dyDescent="0.35">
      <c r="A72" s="11" t="s">
        <v>72</v>
      </c>
      <c r="B72" s="59">
        <v>-216</v>
      </c>
      <c r="C72" s="59">
        <v>60</v>
      </c>
      <c r="D72" s="59">
        <v>-426</v>
      </c>
      <c r="E72" s="59">
        <v>187</v>
      </c>
      <c r="F72" s="59">
        <v>-270</v>
      </c>
      <c r="G72" s="59">
        <v>1239</v>
      </c>
      <c r="H72" s="59">
        <v>-1606</v>
      </c>
      <c r="I72" s="59">
        <v>-504</v>
      </c>
    </row>
    <row r="73" spans="1:15" x14ac:dyDescent="0.35">
      <c r="A73" s="11" t="s">
        <v>73</v>
      </c>
      <c r="B73" s="59">
        <v>-621</v>
      </c>
      <c r="C73" s="59">
        <v>-590</v>
      </c>
      <c r="D73" s="59">
        <v>-231</v>
      </c>
      <c r="E73" s="59">
        <v>-255</v>
      </c>
      <c r="F73" s="59">
        <v>-490</v>
      </c>
      <c r="G73" s="59">
        <v>-1854</v>
      </c>
      <c r="H73" s="59">
        <v>507</v>
      </c>
      <c r="I73" s="59">
        <v>-1676</v>
      </c>
    </row>
    <row r="74" spans="1:15" x14ac:dyDescent="0.35">
      <c r="A74" s="11" t="s">
        <v>97</v>
      </c>
      <c r="B74" s="59">
        <v>-144</v>
      </c>
      <c r="C74" s="59">
        <v>-161</v>
      </c>
      <c r="D74" s="59">
        <v>-120</v>
      </c>
      <c r="E74" s="59">
        <v>35</v>
      </c>
      <c r="F74" s="59">
        <v>-203</v>
      </c>
      <c r="G74" s="59">
        <v>-654</v>
      </c>
      <c r="H74" s="59">
        <v>-182</v>
      </c>
      <c r="I74" s="59">
        <v>-845</v>
      </c>
    </row>
    <row r="75" spans="1:15" x14ac:dyDescent="0.35">
      <c r="A75" s="11" t="s">
        <v>96</v>
      </c>
      <c r="B75" s="59">
        <v>1237</v>
      </c>
      <c r="C75" s="59">
        <v>-586</v>
      </c>
      <c r="D75" s="59">
        <v>-158</v>
      </c>
      <c r="E75" s="59">
        <v>1515</v>
      </c>
      <c r="F75" s="59">
        <v>1525</v>
      </c>
      <c r="G75" s="59">
        <v>24</v>
      </c>
      <c r="H75" s="59">
        <v>1326</v>
      </c>
      <c r="I75" s="59">
        <v>1365</v>
      </c>
    </row>
    <row r="76" spans="1:15" x14ac:dyDescent="0.35">
      <c r="A76" s="25" t="s">
        <v>74</v>
      </c>
      <c r="B76" s="60">
        <f>+SUM(B64:B75)</f>
        <v>4680</v>
      </c>
      <c r="C76" s="60">
        <f t="shared" ref="C76:H76" si="13">+SUM(C64:C75)</f>
        <v>3399</v>
      </c>
      <c r="D76" s="60">
        <f t="shared" si="13"/>
        <v>3846</v>
      </c>
      <c r="E76" s="60">
        <f t="shared" si="13"/>
        <v>4955</v>
      </c>
      <c r="F76" s="60">
        <f t="shared" si="13"/>
        <v>5903</v>
      </c>
      <c r="G76" s="60">
        <f t="shared" si="13"/>
        <v>2485</v>
      </c>
      <c r="H76" s="60">
        <f t="shared" si="13"/>
        <v>6657</v>
      </c>
      <c r="I76" s="60">
        <f>+SUM(I64:I75)</f>
        <v>5188</v>
      </c>
    </row>
    <row r="77" spans="1:15" x14ac:dyDescent="0.35">
      <c r="A77" s="1" t="s">
        <v>75</v>
      </c>
      <c r="B77" s="59"/>
      <c r="C77" s="59"/>
      <c r="D77" s="59"/>
      <c r="E77" s="59"/>
      <c r="F77" s="59"/>
      <c r="G77" s="59"/>
      <c r="H77" s="59"/>
      <c r="I77" s="59"/>
    </row>
    <row r="78" spans="1:15" x14ac:dyDescent="0.35">
      <c r="A78" s="2" t="s">
        <v>76</v>
      </c>
      <c r="B78" s="59">
        <v>-4936</v>
      </c>
      <c r="C78" s="59">
        <v>-5367</v>
      </c>
      <c r="D78" s="59">
        <v>-5928</v>
      </c>
      <c r="E78" s="59">
        <v>-4783</v>
      </c>
      <c r="F78" s="59">
        <v>-2937</v>
      </c>
      <c r="G78" s="59">
        <v>-2426</v>
      </c>
      <c r="H78" s="59">
        <v>-9961</v>
      </c>
      <c r="I78" s="59">
        <v>-12913</v>
      </c>
      <c r="O78" s="54"/>
    </row>
    <row r="79" spans="1:15" x14ac:dyDescent="0.35">
      <c r="A79" s="2" t="s">
        <v>77</v>
      </c>
      <c r="B79" s="59">
        <v>3655</v>
      </c>
      <c r="C79" s="59">
        <v>2924</v>
      </c>
      <c r="D79" s="59">
        <v>3623</v>
      </c>
      <c r="E79" s="59">
        <v>3613</v>
      </c>
      <c r="F79" s="59">
        <v>1715</v>
      </c>
      <c r="G79" s="59">
        <v>74</v>
      </c>
      <c r="H79" s="59">
        <v>4236</v>
      </c>
      <c r="I79" s="59">
        <v>8199</v>
      </c>
    </row>
    <row r="80" spans="1:15" x14ac:dyDescent="0.35">
      <c r="A80" s="2" t="s">
        <v>78</v>
      </c>
      <c r="B80" s="59">
        <v>2216</v>
      </c>
      <c r="C80" s="59">
        <v>2386</v>
      </c>
      <c r="D80" s="59">
        <v>2423</v>
      </c>
      <c r="E80" s="59">
        <v>2496</v>
      </c>
      <c r="F80" s="59">
        <v>2072</v>
      </c>
      <c r="G80" s="59">
        <v>2379</v>
      </c>
      <c r="H80" s="59">
        <v>2449</v>
      </c>
      <c r="I80" s="59">
        <v>3967</v>
      </c>
    </row>
    <row r="81" spans="1:9" x14ac:dyDescent="0.35">
      <c r="A81" s="2" t="s">
        <v>188</v>
      </c>
      <c r="B81" s="59">
        <v>-150</v>
      </c>
      <c r="C81" s="59">
        <v>150</v>
      </c>
      <c r="D81" s="59">
        <v>0</v>
      </c>
      <c r="E81" s="59">
        <v>0</v>
      </c>
      <c r="F81" s="59">
        <v>0</v>
      </c>
      <c r="G81" s="59">
        <v>0</v>
      </c>
      <c r="H81" s="59">
        <v>0</v>
      </c>
      <c r="I81" s="59">
        <v>0</v>
      </c>
    </row>
    <row r="82" spans="1:9" x14ac:dyDescent="0.35">
      <c r="A82" s="2" t="s">
        <v>14</v>
      </c>
      <c r="B82" s="59">
        <v>-963</v>
      </c>
      <c r="C82" s="59">
        <v>-1143</v>
      </c>
      <c r="D82" s="59">
        <v>-1105</v>
      </c>
      <c r="E82" s="59">
        <v>-1028</v>
      </c>
      <c r="F82" s="59">
        <v>-1119</v>
      </c>
      <c r="G82" s="59">
        <v>-1086</v>
      </c>
      <c r="H82" s="59">
        <v>-695</v>
      </c>
      <c r="I82" s="59">
        <v>-758</v>
      </c>
    </row>
    <row r="83" spans="1:9" x14ac:dyDescent="0.35">
      <c r="A83" s="2" t="s">
        <v>189</v>
      </c>
      <c r="B83" s="59">
        <v>3</v>
      </c>
      <c r="C83" s="59">
        <v>10</v>
      </c>
      <c r="D83" s="59">
        <v>13</v>
      </c>
      <c r="E83" s="59">
        <v>3</v>
      </c>
      <c r="F83" s="59">
        <v>0</v>
      </c>
      <c r="G83" s="59">
        <v>0</v>
      </c>
      <c r="H83" s="59">
        <v>0</v>
      </c>
      <c r="I83" s="59">
        <v>0</v>
      </c>
    </row>
    <row r="84" spans="1:9" x14ac:dyDescent="0.35">
      <c r="A84" s="2" t="s">
        <v>79</v>
      </c>
      <c r="B84" s="59">
        <v>0</v>
      </c>
      <c r="C84" s="59">
        <v>6</v>
      </c>
      <c r="D84" s="59">
        <v>-34</v>
      </c>
      <c r="E84" s="59">
        <v>-25</v>
      </c>
      <c r="F84" s="59">
        <v>5</v>
      </c>
      <c r="G84" s="59">
        <v>31</v>
      </c>
      <c r="H84" s="59">
        <v>171</v>
      </c>
      <c r="I84" s="59">
        <v>-19</v>
      </c>
    </row>
    <row r="85" spans="1:9" x14ac:dyDescent="0.35">
      <c r="A85" s="27" t="s">
        <v>80</v>
      </c>
      <c r="B85" s="60">
        <f t="shared" ref="B85:H85" si="14">+SUM(B78:B84)</f>
        <v>-175</v>
      </c>
      <c r="C85" s="60">
        <f t="shared" si="14"/>
        <v>-1034</v>
      </c>
      <c r="D85" s="60">
        <f t="shared" si="14"/>
        <v>-1008</v>
      </c>
      <c r="E85" s="60">
        <f t="shared" si="14"/>
        <v>276</v>
      </c>
      <c r="F85" s="60">
        <f t="shared" si="14"/>
        <v>-264</v>
      </c>
      <c r="G85" s="60">
        <f t="shared" si="14"/>
        <v>-1028</v>
      </c>
      <c r="H85" s="60">
        <f t="shared" si="14"/>
        <v>-3800</v>
      </c>
      <c r="I85" s="60">
        <f>+SUM(I78:I84)</f>
        <v>-1524</v>
      </c>
    </row>
    <row r="86" spans="1:9" x14ac:dyDescent="0.35">
      <c r="A86" s="1" t="s">
        <v>81</v>
      </c>
      <c r="B86" s="59"/>
      <c r="C86" s="59"/>
      <c r="D86" s="59"/>
      <c r="E86" s="59"/>
      <c r="F86" s="59"/>
      <c r="G86" s="59"/>
      <c r="H86" s="59"/>
      <c r="I86" s="59"/>
    </row>
    <row r="87" spans="1:9" x14ac:dyDescent="0.35">
      <c r="A87" s="2" t="s">
        <v>82</v>
      </c>
      <c r="B87" s="59">
        <v>0</v>
      </c>
      <c r="C87" s="59">
        <v>981</v>
      </c>
      <c r="D87" s="59">
        <v>1482</v>
      </c>
      <c r="E87" s="59">
        <v>0</v>
      </c>
      <c r="F87" s="59">
        <v>0</v>
      </c>
      <c r="G87" s="59">
        <v>6134</v>
      </c>
      <c r="H87" s="59">
        <v>0</v>
      </c>
      <c r="I87" s="59">
        <v>0</v>
      </c>
    </row>
    <row r="88" spans="1:9" x14ac:dyDescent="0.35">
      <c r="A88" s="2" t="s">
        <v>83</v>
      </c>
      <c r="B88" s="59">
        <v>-63</v>
      </c>
      <c r="C88" s="59">
        <v>-67</v>
      </c>
      <c r="D88" s="59">
        <v>327</v>
      </c>
      <c r="E88" s="59">
        <v>13</v>
      </c>
      <c r="F88" s="59">
        <v>-325</v>
      </c>
      <c r="G88" s="59">
        <v>49</v>
      </c>
      <c r="H88" s="59">
        <v>-52</v>
      </c>
      <c r="I88" s="59">
        <v>15</v>
      </c>
    </row>
    <row r="89" spans="1:9" x14ac:dyDescent="0.35">
      <c r="A89" s="2" t="s">
        <v>84</v>
      </c>
      <c r="B89" s="59">
        <v>0</v>
      </c>
      <c r="C89" s="59">
        <v>0</v>
      </c>
      <c r="D89" s="59">
        <v>0</v>
      </c>
      <c r="E89" s="59">
        <v>0</v>
      </c>
      <c r="F89" s="59">
        <v>0</v>
      </c>
      <c r="G89" s="59">
        <v>0</v>
      </c>
      <c r="H89" s="59">
        <v>-197</v>
      </c>
      <c r="I89" s="59">
        <v>0</v>
      </c>
    </row>
    <row r="90" spans="1:9" x14ac:dyDescent="0.35">
      <c r="A90" s="2" t="s">
        <v>85</v>
      </c>
      <c r="B90" s="59">
        <v>514</v>
      </c>
      <c r="C90" s="59">
        <v>507</v>
      </c>
      <c r="D90" s="59">
        <v>489</v>
      </c>
      <c r="E90" s="59">
        <v>733</v>
      </c>
      <c r="F90" s="59">
        <v>700</v>
      </c>
      <c r="G90" s="59">
        <v>885</v>
      </c>
      <c r="H90" s="59">
        <v>1172</v>
      </c>
      <c r="I90" s="59">
        <v>1151</v>
      </c>
    </row>
    <row r="91" spans="1:9" x14ac:dyDescent="0.35">
      <c r="A91" s="2" t="s">
        <v>16</v>
      </c>
      <c r="B91" s="59">
        <v>-2534</v>
      </c>
      <c r="C91" s="59">
        <v>-3238</v>
      </c>
      <c r="D91" s="59">
        <v>-3223</v>
      </c>
      <c r="E91" s="59">
        <v>-4254</v>
      </c>
      <c r="F91" s="59">
        <v>-4286</v>
      </c>
      <c r="G91" s="59">
        <v>-3067</v>
      </c>
      <c r="H91" s="59">
        <v>-608</v>
      </c>
      <c r="I91" s="59">
        <v>-4014</v>
      </c>
    </row>
    <row r="92" spans="1:9" x14ac:dyDescent="0.35">
      <c r="A92" s="2" t="s">
        <v>86</v>
      </c>
      <c r="B92" s="59">
        <v>-899</v>
      </c>
      <c r="C92" s="59">
        <v>-1022</v>
      </c>
      <c r="D92" s="59">
        <v>-1133</v>
      </c>
      <c r="E92" s="59">
        <v>-1243</v>
      </c>
      <c r="F92" s="59">
        <v>-1332</v>
      </c>
      <c r="G92" s="59">
        <v>-1452</v>
      </c>
      <c r="H92" s="59">
        <v>-1638</v>
      </c>
      <c r="I92" s="59">
        <v>-1837</v>
      </c>
    </row>
    <row r="93" spans="1:9" x14ac:dyDescent="0.35">
      <c r="A93" s="2" t="s">
        <v>190</v>
      </c>
      <c r="B93" s="59">
        <f>-7-19+218</f>
        <v>192</v>
      </c>
      <c r="C93" s="59">
        <f>-106-7-22</f>
        <v>-135</v>
      </c>
      <c r="D93" s="59">
        <f>-44-17-29</f>
        <v>-90</v>
      </c>
      <c r="E93" s="59">
        <v>-84</v>
      </c>
      <c r="F93" s="59">
        <v>-50</v>
      </c>
      <c r="G93" s="59">
        <v>-58</v>
      </c>
      <c r="H93" s="59">
        <v>-136</v>
      </c>
      <c r="I93" s="59">
        <v>-151</v>
      </c>
    </row>
    <row r="94" spans="1:9" x14ac:dyDescent="0.35">
      <c r="A94" s="27" t="s">
        <v>87</v>
      </c>
      <c r="B94" s="60">
        <f t="shared" ref="B94:H94" si="15">+SUM(B87:B93)</f>
        <v>-2790</v>
      </c>
      <c r="C94" s="60">
        <f t="shared" si="15"/>
        <v>-2974</v>
      </c>
      <c r="D94" s="60">
        <f t="shared" si="15"/>
        <v>-2148</v>
      </c>
      <c r="E94" s="60">
        <f t="shared" si="15"/>
        <v>-4835</v>
      </c>
      <c r="F94" s="60">
        <f t="shared" si="15"/>
        <v>-5293</v>
      </c>
      <c r="G94" s="60">
        <f t="shared" si="15"/>
        <v>2491</v>
      </c>
      <c r="H94" s="60">
        <f t="shared" si="15"/>
        <v>-1459</v>
      </c>
      <c r="I94" s="60">
        <f>+SUM(I87:I93)</f>
        <v>-4836</v>
      </c>
    </row>
    <row r="95" spans="1:9" x14ac:dyDescent="0.35">
      <c r="A95" s="2" t="s">
        <v>88</v>
      </c>
      <c r="B95" s="59">
        <v>-83</v>
      </c>
      <c r="C95" s="59">
        <v>-105</v>
      </c>
      <c r="D95" s="59">
        <v>-20</v>
      </c>
      <c r="E95" s="59">
        <v>45</v>
      </c>
      <c r="F95" s="59">
        <v>-129</v>
      </c>
      <c r="G95" s="59">
        <v>-66</v>
      </c>
      <c r="H95" s="59">
        <v>143</v>
      </c>
      <c r="I95" s="59">
        <v>-143</v>
      </c>
    </row>
    <row r="96" spans="1:9" x14ac:dyDescent="0.35">
      <c r="A96" s="27" t="s">
        <v>89</v>
      </c>
      <c r="B96" s="60">
        <f>+B76+B85+B94+B95</f>
        <v>1632</v>
      </c>
      <c r="C96" s="60">
        <f t="shared" ref="C96:H96" si="16">+C76+C85+C94+C95</f>
        <v>-714</v>
      </c>
      <c r="D96" s="60">
        <f t="shared" si="16"/>
        <v>670</v>
      </c>
      <c r="E96" s="60">
        <f t="shared" si="16"/>
        <v>441</v>
      </c>
      <c r="F96" s="60">
        <f t="shared" si="16"/>
        <v>217</v>
      </c>
      <c r="G96" s="60">
        <f t="shared" si="16"/>
        <v>3882</v>
      </c>
      <c r="H96" s="60">
        <f t="shared" si="16"/>
        <v>1541</v>
      </c>
      <c r="I96" s="60">
        <f>+I76+I85+I94+I95</f>
        <v>-1315</v>
      </c>
    </row>
    <row r="97" spans="1:9" x14ac:dyDescent="0.35">
      <c r="A97" t="s">
        <v>90</v>
      </c>
      <c r="B97" s="59">
        <v>2220</v>
      </c>
      <c r="C97" s="59">
        <v>3852</v>
      </c>
      <c r="D97" s="59">
        <v>3138</v>
      </c>
      <c r="E97" s="59">
        <v>3808</v>
      </c>
      <c r="F97" s="59">
        <v>4249</v>
      </c>
      <c r="G97" s="59">
        <v>4466</v>
      </c>
      <c r="H97" s="59">
        <f>+G98</f>
        <v>8348</v>
      </c>
      <c r="I97" s="59">
        <f>+H98</f>
        <v>9889</v>
      </c>
    </row>
    <row r="98" spans="1:9" ht="15" thickBot="1" x14ac:dyDescent="0.4">
      <c r="A98" s="6" t="s">
        <v>91</v>
      </c>
      <c r="B98" s="61">
        <f>+B96+B97</f>
        <v>3852</v>
      </c>
      <c r="C98" s="61">
        <f>+C96+C97</f>
        <v>3138</v>
      </c>
      <c r="D98" s="61">
        <f t="shared" ref="D98:G98" si="17">+D96+D97</f>
        <v>3808</v>
      </c>
      <c r="E98" s="61">
        <f t="shared" si="17"/>
        <v>4249</v>
      </c>
      <c r="F98" s="61">
        <f t="shared" si="17"/>
        <v>4466</v>
      </c>
      <c r="G98" s="61">
        <f t="shared" si="17"/>
        <v>8348</v>
      </c>
      <c r="H98" s="61">
        <f>+H96+H97</f>
        <v>9889</v>
      </c>
      <c r="I98" s="61">
        <f>+I96+I97</f>
        <v>8574</v>
      </c>
    </row>
    <row r="99" spans="1:9" s="12" customFormat="1"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5">
      <c r="A100" t="s">
        <v>92</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93</v>
      </c>
      <c r="B102" s="3">
        <v>53</v>
      </c>
      <c r="C102" s="3">
        <v>70</v>
      </c>
      <c r="D102" s="3">
        <v>98</v>
      </c>
      <c r="E102" s="3">
        <v>125</v>
      </c>
      <c r="F102" s="3">
        <v>153</v>
      </c>
      <c r="G102" s="3">
        <v>140</v>
      </c>
      <c r="H102" s="3">
        <v>293</v>
      </c>
      <c r="I102" s="3">
        <v>290</v>
      </c>
    </row>
    <row r="103" spans="1:9" x14ac:dyDescent="0.35">
      <c r="A103" s="11" t="s">
        <v>18</v>
      </c>
      <c r="B103" s="3">
        <v>703</v>
      </c>
      <c r="C103" s="3">
        <v>748</v>
      </c>
      <c r="D103" s="3">
        <v>1262</v>
      </c>
      <c r="E103" s="3">
        <v>529</v>
      </c>
      <c r="F103" s="3">
        <v>757</v>
      </c>
      <c r="G103" s="3">
        <v>1028</v>
      </c>
      <c r="H103" s="3">
        <v>1177</v>
      </c>
      <c r="I103" s="3">
        <v>1231</v>
      </c>
    </row>
    <row r="104" spans="1:9" x14ac:dyDescent="0.35">
      <c r="A104" s="11" t="s">
        <v>94</v>
      </c>
      <c r="B104" s="3">
        <v>206</v>
      </c>
      <c r="C104" s="3">
        <v>252</v>
      </c>
      <c r="D104" s="3">
        <v>266</v>
      </c>
      <c r="E104" s="3">
        <v>294</v>
      </c>
      <c r="F104" s="3">
        <v>160</v>
      </c>
      <c r="G104" s="3">
        <v>121</v>
      </c>
      <c r="H104" s="3">
        <v>179</v>
      </c>
      <c r="I104" s="3">
        <v>160</v>
      </c>
    </row>
    <row r="105" spans="1:9" x14ac:dyDescent="0.35">
      <c r="A105" s="11" t="s">
        <v>95</v>
      </c>
      <c r="B105" s="3">
        <v>240</v>
      </c>
      <c r="C105" s="3">
        <v>271</v>
      </c>
      <c r="D105" s="3">
        <v>300</v>
      </c>
      <c r="E105" s="3">
        <v>320</v>
      </c>
      <c r="F105" s="3">
        <v>347</v>
      </c>
      <c r="G105" s="3">
        <v>385</v>
      </c>
      <c r="H105" s="3">
        <v>438</v>
      </c>
      <c r="I105" s="3">
        <v>480</v>
      </c>
    </row>
    <row r="107" spans="1:9" x14ac:dyDescent="0.35">
      <c r="A107" s="14" t="s">
        <v>98</v>
      </c>
      <c r="B107" s="14"/>
      <c r="C107" s="14"/>
      <c r="D107" s="14"/>
      <c r="E107" s="14"/>
      <c r="F107" s="14"/>
      <c r="G107" s="14"/>
      <c r="H107" s="14"/>
      <c r="I107" s="14"/>
    </row>
    <row r="108" spans="1:9" x14ac:dyDescent="0.35">
      <c r="A108" s="28" t="s">
        <v>108</v>
      </c>
      <c r="B108" s="3"/>
      <c r="C108" s="3"/>
      <c r="D108" s="3"/>
      <c r="E108" s="3"/>
      <c r="F108" s="3"/>
      <c r="G108" s="3"/>
      <c r="H108" s="3"/>
      <c r="I108" s="3"/>
    </row>
    <row r="109" spans="1:9"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5">
      <c r="A110" s="11" t="s">
        <v>112</v>
      </c>
      <c r="B110" s="8">
        <v>8506</v>
      </c>
      <c r="C110" s="8">
        <v>9299</v>
      </c>
      <c r="D110" s="8">
        <v>9684</v>
      </c>
      <c r="E110" s="8">
        <v>9322</v>
      </c>
      <c r="F110" s="8">
        <v>10045</v>
      </c>
      <c r="G110" s="8">
        <v>9329</v>
      </c>
      <c r="H110" s="8">
        <v>11644</v>
      </c>
      <c r="I110" s="8">
        <v>12228</v>
      </c>
    </row>
    <row r="111" spans="1:9" x14ac:dyDescent="0.35">
      <c r="A111" s="11" t="s">
        <v>113</v>
      </c>
      <c r="B111" s="8">
        <v>4410</v>
      </c>
      <c r="C111" s="8">
        <v>4746</v>
      </c>
      <c r="D111" s="8">
        <v>4886</v>
      </c>
      <c r="E111" s="8">
        <v>4938</v>
      </c>
      <c r="F111" s="8">
        <v>5260</v>
      </c>
      <c r="G111" s="8">
        <v>4639</v>
      </c>
      <c r="H111" s="8">
        <v>5028</v>
      </c>
      <c r="I111" s="8">
        <v>5492</v>
      </c>
    </row>
    <row r="112" spans="1:9" x14ac:dyDescent="0.35">
      <c r="A112" s="11" t="s">
        <v>114</v>
      </c>
      <c r="B112" s="8">
        <v>824</v>
      </c>
      <c r="C112" s="8">
        <v>719</v>
      </c>
      <c r="D112" s="8">
        <v>646</v>
      </c>
      <c r="E112">
        <v>595</v>
      </c>
      <c r="F112" s="8">
        <v>597</v>
      </c>
      <c r="G112" s="8">
        <v>516</v>
      </c>
      <c r="H112">
        <v>507</v>
      </c>
      <c r="I112">
        <v>633</v>
      </c>
    </row>
    <row r="113" spans="1:9"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5">
      <c r="A114" s="11" t="s">
        <v>112</v>
      </c>
      <c r="B114" s="8"/>
      <c r="C114" s="8"/>
      <c r="D114" s="8"/>
      <c r="E114" s="8">
        <v>5875</v>
      </c>
      <c r="F114" s="8">
        <v>6293</v>
      </c>
      <c r="G114" s="8">
        <v>5892</v>
      </c>
      <c r="H114" s="8">
        <v>6970</v>
      </c>
      <c r="I114" s="8">
        <v>7388</v>
      </c>
    </row>
    <row r="115" spans="1:9" x14ac:dyDescent="0.35">
      <c r="A115" s="11" t="s">
        <v>113</v>
      </c>
      <c r="B115" s="8"/>
      <c r="C115" s="8"/>
      <c r="D115" s="8"/>
      <c r="E115" s="8">
        <v>2940</v>
      </c>
      <c r="F115" s="8">
        <v>3087</v>
      </c>
      <c r="G115" s="8">
        <v>3053</v>
      </c>
      <c r="H115" s="8">
        <v>3996</v>
      </c>
      <c r="I115" s="8">
        <v>4527</v>
      </c>
    </row>
    <row r="116" spans="1:9" x14ac:dyDescent="0.35">
      <c r="A116" s="11" t="s">
        <v>114</v>
      </c>
      <c r="B116" s="8"/>
      <c r="C116" s="8"/>
      <c r="D116" s="8"/>
      <c r="E116" s="8">
        <v>427</v>
      </c>
      <c r="F116">
        <v>432</v>
      </c>
      <c r="G116">
        <v>402</v>
      </c>
      <c r="H116">
        <v>490</v>
      </c>
      <c r="I116">
        <v>564</v>
      </c>
    </row>
    <row r="117" spans="1:9"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5">
      <c r="A118" s="11" t="s">
        <v>112</v>
      </c>
      <c r="B118" s="8">
        <v>2016</v>
      </c>
      <c r="C118" s="8">
        <v>2599</v>
      </c>
      <c r="D118" s="8">
        <v>2920</v>
      </c>
      <c r="E118" s="8">
        <v>3496</v>
      </c>
      <c r="F118" s="8">
        <v>4262</v>
      </c>
      <c r="G118" s="8">
        <v>4635</v>
      </c>
      <c r="H118" s="8">
        <v>5748</v>
      </c>
      <c r="I118" s="8">
        <v>5416</v>
      </c>
    </row>
    <row r="119" spans="1:9" x14ac:dyDescent="0.35">
      <c r="A119" s="11" t="s">
        <v>113</v>
      </c>
      <c r="B119" s="8">
        <v>925</v>
      </c>
      <c r="C119" s="8">
        <v>1055</v>
      </c>
      <c r="D119" s="8">
        <v>1188</v>
      </c>
      <c r="E119" s="8">
        <v>1508</v>
      </c>
      <c r="F119" s="8">
        <v>1808</v>
      </c>
      <c r="G119" s="8">
        <v>1896</v>
      </c>
      <c r="H119" s="8">
        <v>2347</v>
      </c>
      <c r="I119" s="8">
        <v>1938</v>
      </c>
    </row>
    <row r="120" spans="1:9" x14ac:dyDescent="0.35">
      <c r="A120" s="11" t="s">
        <v>114</v>
      </c>
      <c r="B120" s="8">
        <v>126</v>
      </c>
      <c r="C120" s="8">
        <v>131</v>
      </c>
      <c r="D120" s="8">
        <v>129</v>
      </c>
      <c r="E120">
        <v>130</v>
      </c>
      <c r="F120">
        <v>138</v>
      </c>
      <c r="G120" s="8">
        <v>148</v>
      </c>
      <c r="H120">
        <v>195</v>
      </c>
      <c r="I120">
        <v>193</v>
      </c>
    </row>
    <row r="121" spans="1:9"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5">
      <c r="A122" s="11" t="s">
        <v>112</v>
      </c>
      <c r="E122" s="8">
        <v>3575</v>
      </c>
      <c r="F122" s="8">
        <v>3622</v>
      </c>
      <c r="G122" s="8">
        <v>3449</v>
      </c>
      <c r="H122" s="8">
        <v>3659</v>
      </c>
      <c r="I122" s="8">
        <v>4111</v>
      </c>
    </row>
    <row r="123" spans="1:9" x14ac:dyDescent="0.35">
      <c r="A123" s="11" t="s">
        <v>113</v>
      </c>
      <c r="E123" s="8">
        <v>1347</v>
      </c>
      <c r="F123" s="8">
        <v>1395</v>
      </c>
      <c r="G123" s="8">
        <v>1365</v>
      </c>
      <c r="H123" s="8">
        <v>1494</v>
      </c>
      <c r="I123" s="8">
        <v>1610</v>
      </c>
    </row>
    <row r="124" spans="1:9" x14ac:dyDescent="0.35">
      <c r="A124" s="11" t="s">
        <v>114</v>
      </c>
      <c r="E124" s="8">
        <v>244</v>
      </c>
      <c r="F124">
        <v>237</v>
      </c>
      <c r="G124">
        <v>214</v>
      </c>
      <c r="H124">
        <v>190</v>
      </c>
      <c r="I124">
        <v>234</v>
      </c>
    </row>
    <row r="125" spans="1:9" x14ac:dyDescent="0.35">
      <c r="A125" s="2" t="s">
        <v>191</v>
      </c>
      <c r="B125" s="3">
        <f t="shared" ref="B125:D125" si="23">+SUM(B126:B128)</f>
        <v>5705</v>
      </c>
      <c r="C125" s="3">
        <f t="shared" si="23"/>
        <v>5884</v>
      </c>
      <c r="D125" s="3">
        <f t="shared" si="23"/>
        <v>6211</v>
      </c>
      <c r="E125" s="3"/>
      <c r="F125" s="3"/>
      <c r="G125" s="3"/>
      <c r="H125" s="3"/>
      <c r="I125" s="3"/>
    </row>
    <row r="126" spans="1:9" x14ac:dyDescent="0.35">
      <c r="A126" s="11" t="s">
        <v>112</v>
      </c>
      <c r="B126" s="8">
        <v>3876</v>
      </c>
      <c r="C126" s="8">
        <v>3985</v>
      </c>
      <c r="D126" s="8">
        <v>4068</v>
      </c>
      <c r="E126" s="8"/>
      <c r="F126" s="8"/>
      <c r="G126" s="8"/>
      <c r="H126" s="8"/>
      <c r="I126" s="8"/>
    </row>
    <row r="127" spans="1:9" x14ac:dyDescent="0.35">
      <c r="A127" s="11" t="s">
        <v>113</v>
      </c>
      <c r="B127" s="8">
        <v>1552</v>
      </c>
      <c r="C127" s="8">
        <v>1628</v>
      </c>
      <c r="D127" s="8">
        <v>1868</v>
      </c>
      <c r="E127" s="8"/>
      <c r="F127" s="8"/>
      <c r="G127" s="8"/>
      <c r="H127" s="8"/>
      <c r="I127" s="8"/>
    </row>
    <row r="128" spans="1:9" x14ac:dyDescent="0.35">
      <c r="A128" s="11" t="s">
        <v>114</v>
      </c>
      <c r="B128" s="8">
        <v>277</v>
      </c>
      <c r="C128" s="8">
        <v>271</v>
      </c>
      <c r="D128" s="8">
        <v>275</v>
      </c>
      <c r="E128" s="8"/>
    </row>
    <row r="129" spans="1:9" x14ac:dyDescent="0.35">
      <c r="A129" s="2" t="s">
        <v>192</v>
      </c>
      <c r="B129" s="3">
        <f t="shared" ref="B129:D129" si="24">+SUM(B130:B132)</f>
        <v>1421</v>
      </c>
      <c r="C129" s="3">
        <f t="shared" si="24"/>
        <v>1431</v>
      </c>
      <c r="D129" s="3">
        <f t="shared" si="24"/>
        <v>1487</v>
      </c>
      <c r="E129" s="3"/>
      <c r="F129" s="3"/>
      <c r="G129" s="3"/>
      <c r="H129" s="3"/>
      <c r="I129" s="3"/>
    </row>
    <row r="130" spans="1:9" x14ac:dyDescent="0.35">
      <c r="A130" s="11" t="s">
        <v>112</v>
      </c>
      <c r="B130" s="8">
        <v>827</v>
      </c>
      <c r="C130" s="8">
        <v>882</v>
      </c>
      <c r="D130" s="8">
        <v>927</v>
      </c>
      <c r="E130" s="8"/>
      <c r="F130" s="8"/>
      <c r="G130" s="8"/>
      <c r="H130" s="8"/>
      <c r="I130" s="8"/>
    </row>
    <row r="131" spans="1:9" x14ac:dyDescent="0.35">
      <c r="A131" s="11" t="s">
        <v>113</v>
      </c>
      <c r="B131" s="8">
        <v>499</v>
      </c>
      <c r="C131" s="8">
        <v>463</v>
      </c>
      <c r="D131" s="8">
        <v>471</v>
      </c>
      <c r="E131" s="8"/>
      <c r="F131" s="8"/>
      <c r="G131" s="8"/>
      <c r="H131" s="8"/>
      <c r="I131" s="8"/>
    </row>
    <row r="132" spans="1:9" x14ac:dyDescent="0.35">
      <c r="A132" s="11" t="s">
        <v>114</v>
      </c>
      <c r="B132" s="8">
        <v>95</v>
      </c>
      <c r="C132" s="8">
        <v>86</v>
      </c>
      <c r="D132" s="8">
        <v>89</v>
      </c>
      <c r="E132" s="8"/>
    </row>
    <row r="133" spans="1:9" x14ac:dyDescent="0.35">
      <c r="A133" s="2" t="s">
        <v>193</v>
      </c>
      <c r="B133" s="3">
        <f t="shared" ref="B133:D133" si="25">+SUM(B134:B136)</f>
        <v>755</v>
      </c>
      <c r="C133" s="3">
        <f t="shared" si="25"/>
        <v>869</v>
      </c>
      <c r="D133" s="3">
        <f t="shared" si="25"/>
        <v>1014</v>
      </c>
      <c r="E133" s="3"/>
      <c r="F133" s="3"/>
      <c r="G133" s="3"/>
      <c r="H133" s="3"/>
      <c r="I133" s="3"/>
    </row>
    <row r="134" spans="1:9" x14ac:dyDescent="0.35">
      <c r="A134" s="11" t="s">
        <v>112</v>
      </c>
      <c r="B134" s="8">
        <v>452</v>
      </c>
      <c r="C134" s="8">
        <v>570</v>
      </c>
      <c r="D134" s="8">
        <v>666</v>
      </c>
      <c r="E134" s="8"/>
      <c r="F134" s="8"/>
      <c r="G134" s="8"/>
      <c r="H134" s="8"/>
      <c r="I134" s="8"/>
    </row>
    <row r="135" spans="1:9" x14ac:dyDescent="0.35">
      <c r="A135" s="11" t="s">
        <v>113</v>
      </c>
      <c r="B135" s="8">
        <v>230</v>
      </c>
      <c r="C135" s="8">
        <v>228</v>
      </c>
      <c r="D135" s="8">
        <v>275</v>
      </c>
      <c r="E135" s="8"/>
      <c r="F135" s="8"/>
      <c r="G135" s="8"/>
      <c r="H135" s="8"/>
      <c r="I135" s="8"/>
    </row>
    <row r="136" spans="1:9" x14ac:dyDescent="0.35">
      <c r="A136" s="11" t="s">
        <v>114</v>
      </c>
      <c r="B136" s="8">
        <v>73</v>
      </c>
      <c r="C136" s="8">
        <v>71</v>
      </c>
      <c r="D136" s="8">
        <v>73</v>
      </c>
      <c r="E136" s="8"/>
    </row>
    <row r="137" spans="1:9" x14ac:dyDescent="0.35">
      <c r="A137" s="2" t="s">
        <v>194</v>
      </c>
      <c r="B137" s="3">
        <f t="shared" ref="B137:D137" si="26">+SUM(B138:B140)</f>
        <v>3898</v>
      </c>
      <c r="C137" s="3">
        <f t="shared" si="26"/>
        <v>3701</v>
      </c>
      <c r="D137" s="3">
        <f t="shared" si="26"/>
        <v>3995</v>
      </c>
      <c r="E137" s="3"/>
      <c r="F137" s="3"/>
      <c r="G137" s="3"/>
      <c r="H137" s="3"/>
      <c r="I137" s="3"/>
    </row>
    <row r="138" spans="1:9" x14ac:dyDescent="0.35">
      <c r="A138" s="11" t="s">
        <v>112</v>
      </c>
      <c r="B138" s="8">
        <v>2641</v>
      </c>
      <c r="C138" s="8">
        <v>2536</v>
      </c>
      <c r="D138" s="8">
        <v>2816</v>
      </c>
      <c r="E138" s="8"/>
      <c r="F138" s="8"/>
      <c r="G138" s="8"/>
      <c r="H138" s="8"/>
      <c r="I138" s="8"/>
    </row>
    <row r="139" spans="1:9" x14ac:dyDescent="0.35">
      <c r="A139" s="11" t="s">
        <v>113</v>
      </c>
      <c r="B139" s="8">
        <v>1021</v>
      </c>
      <c r="C139" s="8">
        <v>947</v>
      </c>
      <c r="D139" s="8">
        <v>966</v>
      </c>
      <c r="E139" s="8"/>
      <c r="F139" s="8"/>
      <c r="G139" s="8"/>
      <c r="H139" s="8"/>
      <c r="I139" s="8"/>
    </row>
    <row r="140" spans="1:9" x14ac:dyDescent="0.35">
      <c r="A140" s="11" t="s">
        <v>114</v>
      </c>
      <c r="B140" s="8">
        <v>236</v>
      </c>
      <c r="C140" s="8">
        <v>218</v>
      </c>
      <c r="D140" s="8">
        <v>213</v>
      </c>
      <c r="E140" s="8"/>
    </row>
    <row r="141" spans="1:9" x14ac:dyDescent="0.35">
      <c r="A141" s="2" t="s">
        <v>106</v>
      </c>
      <c r="B141" s="3">
        <v>115</v>
      </c>
      <c r="C141" s="3">
        <v>73</v>
      </c>
      <c r="D141" s="3">
        <v>73</v>
      </c>
      <c r="E141" s="3">
        <v>88</v>
      </c>
      <c r="F141" s="3">
        <v>42</v>
      </c>
      <c r="G141" s="3">
        <v>30</v>
      </c>
      <c r="H141" s="3">
        <v>25</v>
      </c>
      <c r="I141" s="3">
        <v>102</v>
      </c>
    </row>
    <row r="142" spans="1:9"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x14ac:dyDescent="0.35">
      <c r="A143" s="2" t="s">
        <v>103</v>
      </c>
      <c r="B143" s="3">
        <v>1982</v>
      </c>
      <c r="C143" s="3">
        <v>1955</v>
      </c>
      <c r="D143" s="3">
        <v>2042</v>
      </c>
      <c r="E143" s="8">
        <v>1886</v>
      </c>
      <c r="F143" s="3">
        <v>1906</v>
      </c>
      <c r="G143" s="3">
        <v>1846</v>
      </c>
      <c r="H143" s="3">
        <v>2205</v>
      </c>
      <c r="I143" s="3">
        <v>2346</v>
      </c>
    </row>
    <row r="144" spans="1:9" x14ac:dyDescent="0.35">
      <c r="A144" s="11" t="s">
        <v>112</v>
      </c>
      <c r="B144" s="3"/>
      <c r="C144" s="3"/>
      <c r="D144" s="3"/>
      <c r="E144" s="3"/>
      <c r="F144" s="3"/>
      <c r="G144" s="3"/>
      <c r="H144" s="3">
        <v>1986</v>
      </c>
      <c r="I144" s="3">
        <v>2094</v>
      </c>
    </row>
    <row r="145" spans="1:9" x14ac:dyDescent="0.35">
      <c r="A145" s="11" t="s">
        <v>113</v>
      </c>
      <c r="B145" s="3"/>
      <c r="C145" s="3"/>
      <c r="D145" s="3"/>
      <c r="E145" s="3"/>
      <c r="F145" s="3"/>
      <c r="G145" s="3"/>
      <c r="H145" s="3">
        <v>104</v>
      </c>
      <c r="I145" s="3">
        <v>103</v>
      </c>
    </row>
    <row r="146" spans="1:9" x14ac:dyDescent="0.35">
      <c r="A146" s="11" t="s">
        <v>114</v>
      </c>
      <c r="B146" s="3"/>
      <c r="C146" s="3"/>
      <c r="D146" s="3"/>
      <c r="E146" s="3"/>
      <c r="F146" s="3"/>
      <c r="G146" s="3"/>
      <c r="H146" s="3">
        <v>29</v>
      </c>
      <c r="I146" s="3">
        <v>26</v>
      </c>
    </row>
    <row r="147" spans="1:9" x14ac:dyDescent="0.35">
      <c r="A147" s="11" t="s">
        <v>120</v>
      </c>
      <c r="B147" s="3"/>
      <c r="C147" s="3"/>
      <c r="D147" s="3"/>
      <c r="E147" s="3"/>
      <c r="F147" s="3"/>
      <c r="G147" s="3"/>
      <c r="H147" s="3">
        <v>86</v>
      </c>
      <c r="I147" s="3">
        <v>123</v>
      </c>
    </row>
    <row r="148" spans="1:9" x14ac:dyDescent="0.35">
      <c r="A148" s="2" t="s">
        <v>107</v>
      </c>
      <c r="B148" s="3">
        <v>-82</v>
      </c>
      <c r="C148" s="3">
        <v>-86</v>
      </c>
      <c r="D148" s="3">
        <v>75</v>
      </c>
      <c r="E148" s="3">
        <v>26</v>
      </c>
      <c r="F148" s="3">
        <v>-7</v>
      </c>
      <c r="G148" s="3">
        <v>-11</v>
      </c>
      <c r="H148" s="3">
        <v>40</v>
      </c>
      <c r="I148" s="3">
        <v>-72</v>
      </c>
    </row>
    <row r="149" spans="1:9"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s="12" customFormat="1"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row>
    <row r="151" spans="1:9" x14ac:dyDescent="0.35">
      <c r="A151" s="1" t="s">
        <v>109</v>
      </c>
    </row>
    <row r="152" spans="1:9" x14ac:dyDescent="0.35">
      <c r="A152" s="2" t="s">
        <v>99</v>
      </c>
      <c r="B152" s="3">
        <v>3645</v>
      </c>
      <c r="C152" s="3">
        <v>3763</v>
      </c>
      <c r="D152" s="3">
        <v>3875</v>
      </c>
      <c r="E152" s="8">
        <v>3600</v>
      </c>
      <c r="F152" s="8">
        <v>3925</v>
      </c>
      <c r="G152" s="8">
        <v>2899</v>
      </c>
      <c r="H152" s="3">
        <v>5089</v>
      </c>
      <c r="I152" s="3">
        <v>5114</v>
      </c>
    </row>
    <row r="153" spans="1:9" x14ac:dyDescent="0.35">
      <c r="A153" s="2" t="s">
        <v>100</v>
      </c>
      <c r="B153" s="3">
        <v>0</v>
      </c>
      <c r="C153" s="3">
        <v>0</v>
      </c>
      <c r="D153" s="3">
        <v>0</v>
      </c>
      <c r="E153" s="8">
        <v>1587</v>
      </c>
      <c r="F153" s="8">
        <v>1995</v>
      </c>
      <c r="G153" s="8">
        <v>1541</v>
      </c>
      <c r="H153" s="3">
        <v>2435</v>
      </c>
      <c r="I153" s="3">
        <v>3293</v>
      </c>
    </row>
    <row r="154" spans="1:9" x14ac:dyDescent="0.35">
      <c r="A154" s="2" t="s">
        <v>101</v>
      </c>
      <c r="B154" s="3">
        <v>993</v>
      </c>
      <c r="C154" s="3">
        <v>1372</v>
      </c>
      <c r="D154" s="3">
        <v>1507</v>
      </c>
      <c r="E154" s="8">
        <v>1807</v>
      </c>
      <c r="F154" s="8">
        <v>2376</v>
      </c>
      <c r="G154" s="8">
        <v>2490</v>
      </c>
      <c r="H154" s="3">
        <v>3243</v>
      </c>
      <c r="I154" s="3">
        <v>2365</v>
      </c>
    </row>
    <row r="155" spans="1:9" x14ac:dyDescent="0.35">
      <c r="A155" s="2" t="s">
        <v>105</v>
      </c>
      <c r="B155" s="3">
        <v>0</v>
      </c>
      <c r="C155" s="3">
        <v>0</v>
      </c>
      <c r="D155" s="3">
        <v>0</v>
      </c>
      <c r="E155" s="3">
        <v>1189</v>
      </c>
      <c r="F155" s="8">
        <v>1323</v>
      </c>
      <c r="G155" s="8">
        <v>1184</v>
      </c>
      <c r="H155" s="3">
        <v>1530</v>
      </c>
      <c r="I155" s="3">
        <v>1896</v>
      </c>
    </row>
    <row r="156" spans="1:9" x14ac:dyDescent="0.35">
      <c r="A156" s="62" t="s">
        <v>191</v>
      </c>
      <c r="B156" s="3">
        <v>1275</v>
      </c>
      <c r="C156" s="3">
        <v>1434</v>
      </c>
      <c r="D156" s="3">
        <v>1203</v>
      </c>
      <c r="E156" s="3">
        <v>0</v>
      </c>
      <c r="F156" s="3">
        <v>0</v>
      </c>
      <c r="G156" s="3">
        <v>0</v>
      </c>
      <c r="H156" s="3">
        <v>0</v>
      </c>
      <c r="I156" s="3">
        <v>0</v>
      </c>
    </row>
    <row r="157" spans="1:9" x14ac:dyDescent="0.35">
      <c r="A157" s="62" t="s">
        <v>192</v>
      </c>
      <c r="B157" s="3">
        <v>249</v>
      </c>
      <c r="C157" s="3">
        <v>289</v>
      </c>
      <c r="D157" s="3">
        <v>244</v>
      </c>
      <c r="E157" s="3">
        <v>0</v>
      </c>
      <c r="F157" s="3">
        <v>0</v>
      </c>
      <c r="G157" s="3">
        <v>0</v>
      </c>
      <c r="H157" s="3">
        <v>0</v>
      </c>
      <c r="I157" s="3">
        <v>0</v>
      </c>
    </row>
    <row r="158" spans="1:9" x14ac:dyDescent="0.35">
      <c r="A158" s="62" t="s">
        <v>193</v>
      </c>
      <c r="B158" s="3">
        <v>100</v>
      </c>
      <c r="C158" s="3">
        <v>174</v>
      </c>
      <c r="D158" s="3">
        <v>224</v>
      </c>
      <c r="E158" s="3">
        <v>0</v>
      </c>
      <c r="F158" s="3">
        <v>0</v>
      </c>
      <c r="G158" s="3">
        <v>0</v>
      </c>
      <c r="H158" s="3">
        <v>0</v>
      </c>
      <c r="I158" s="3">
        <v>0</v>
      </c>
    </row>
    <row r="159" spans="1:9" x14ac:dyDescent="0.35">
      <c r="A159" s="62" t="s">
        <v>194</v>
      </c>
      <c r="B159" s="3">
        <v>818</v>
      </c>
      <c r="C159" s="3">
        <v>892</v>
      </c>
      <c r="D159" s="3">
        <v>816</v>
      </c>
      <c r="E159" s="3">
        <v>0</v>
      </c>
      <c r="F159" s="3">
        <v>0</v>
      </c>
      <c r="G159" s="3">
        <v>0</v>
      </c>
      <c r="H159" s="3">
        <v>0</v>
      </c>
      <c r="I159" s="3">
        <v>0</v>
      </c>
    </row>
    <row r="160" spans="1:9" x14ac:dyDescent="0.35">
      <c r="A160" s="2" t="s">
        <v>106</v>
      </c>
      <c r="B160" s="3">
        <v>-2267</v>
      </c>
      <c r="C160" s="3">
        <v>-2596</v>
      </c>
      <c r="D160" s="3">
        <v>-2677</v>
      </c>
      <c r="E160" s="3">
        <v>-2658</v>
      </c>
      <c r="F160" s="3">
        <v>-3262</v>
      </c>
      <c r="G160" s="3">
        <v>-3468</v>
      </c>
      <c r="H160" s="3">
        <v>-3656</v>
      </c>
      <c r="I160" s="3">
        <v>-4262</v>
      </c>
    </row>
    <row r="161" spans="1:9"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5">
      <c r="A162" s="2" t="s">
        <v>103</v>
      </c>
      <c r="B162" s="3">
        <v>517</v>
      </c>
      <c r="C162" s="3">
        <v>487</v>
      </c>
      <c r="D162" s="3">
        <v>477</v>
      </c>
      <c r="E162" s="3">
        <v>310</v>
      </c>
      <c r="F162" s="3">
        <v>303</v>
      </c>
      <c r="G162" s="3">
        <v>297</v>
      </c>
      <c r="H162" s="3">
        <v>543</v>
      </c>
      <c r="I162" s="3">
        <v>669</v>
      </c>
    </row>
    <row r="163" spans="1:9" x14ac:dyDescent="0.35">
      <c r="A163" s="2" t="s">
        <v>107</v>
      </c>
      <c r="B163" s="3">
        <v>-1097</v>
      </c>
      <c r="C163" s="3">
        <v>-1173</v>
      </c>
      <c r="D163" s="3">
        <v>-724</v>
      </c>
      <c r="E163" s="3">
        <v>-1456</v>
      </c>
      <c r="F163" s="3">
        <v>-1810</v>
      </c>
      <c r="G163" s="3">
        <v>-1967</v>
      </c>
      <c r="H163" s="3">
        <v>-2261</v>
      </c>
      <c r="I163" s="3">
        <v>-2219</v>
      </c>
    </row>
    <row r="164" spans="1:9"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s="12" customFormat="1"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5">
      <c r="A166" s="1" t="s">
        <v>116</v>
      </c>
    </row>
    <row r="167" spans="1:9" x14ac:dyDescent="0.35">
      <c r="A167" s="2" t="s">
        <v>99</v>
      </c>
      <c r="B167" s="3">
        <v>632</v>
      </c>
      <c r="C167" s="3">
        <v>742</v>
      </c>
      <c r="D167" s="3">
        <v>819</v>
      </c>
      <c r="E167" s="3">
        <v>848</v>
      </c>
      <c r="F167" s="3">
        <v>814</v>
      </c>
      <c r="G167" s="3">
        <v>645</v>
      </c>
      <c r="H167" s="3">
        <v>617</v>
      </c>
      <c r="I167" s="3">
        <v>639</v>
      </c>
    </row>
    <row r="168" spans="1:9" x14ac:dyDescent="0.35">
      <c r="A168" s="2" t="s">
        <v>100</v>
      </c>
      <c r="B168" s="3">
        <v>0</v>
      </c>
      <c r="C168" s="3">
        <v>0</v>
      </c>
      <c r="D168" s="3">
        <v>709</v>
      </c>
      <c r="E168" s="3">
        <v>849</v>
      </c>
      <c r="F168" s="3">
        <v>929</v>
      </c>
      <c r="G168" s="3">
        <v>885</v>
      </c>
      <c r="H168" s="3">
        <v>982</v>
      </c>
      <c r="I168" s="3">
        <v>920</v>
      </c>
    </row>
    <row r="169" spans="1:9" x14ac:dyDescent="0.35">
      <c r="A169" s="2" t="s">
        <v>101</v>
      </c>
      <c r="B169" s="3">
        <v>254</v>
      </c>
      <c r="C169" s="3">
        <v>234</v>
      </c>
      <c r="D169" s="3">
        <v>225</v>
      </c>
      <c r="E169" s="3">
        <v>256</v>
      </c>
      <c r="F169" s="3">
        <v>237</v>
      </c>
      <c r="G169" s="3">
        <v>214</v>
      </c>
      <c r="H169" s="3">
        <v>288</v>
      </c>
      <c r="I169" s="3">
        <v>303</v>
      </c>
    </row>
    <row r="170" spans="1:9" x14ac:dyDescent="0.35">
      <c r="A170" s="2" t="s">
        <v>117</v>
      </c>
      <c r="B170" s="3">
        <v>0</v>
      </c>
      <c r="C170" s="3">
        <v>0</v>
      </c>
      <c r="D170" s="3">
        <v>340</v>
      </c>
      <c r="E170" s="3">
        <v>339</v>
      </c>
      <c r="F170" s="3">
        <v>326</v>
      </c>
      <c r="G170" s="3">
        <v>296</v>
      </c>
      <c r="H170" s="3">
        <v>304</v>
      </c>
      <c r="I170" s="3">
        <v>274</v>
      </c>
    </row>
    <row r="171" spans="1:9" x14ac:dyDescent="0.35">
      <c r="A171" s="62" t="s">
        <v>195</v>
      </c>
      <c r="B171" s="3">
        <f>451+47+205+103</f>
        <v>806</v>
      </c>
      <c r="C171" s="3">
        <f>589+50+223+109</f>
        <v>971</v>
      </c>
      <c r="D171" s="3">
        <v>0</v>
      </c>
      <c r="E171" s="3">
        <v>0</v>
      </c>
      <c r="F171" s="3">
        <v>0</v>
      </c>
      <c r="G171" s="3">
        <v>0</v>
      </c>
      <c r="H171" s="3">
        <v>0</v>
      </c>
      <c r="I171" s="3">
        <v>0</v>
      </c>
    </row>
    <row r="172" spans="1:9" x14ac:dyDescent="0.35">
      <c r="A172" s="2" t="s">
        <v>106</v>
      </c>
      <c r="B172" s="3">
        <v>484</v>
      </c>
      <c r="C172" s="3">
        <v>511</v>
      </c>
      <c r="D172" s="3">
        <v>533</v>
      </c>
      <c r="E172" s="3">
        <v>597</v>
      </c>
      <c r="F172" s="3">
        <v>665</v>
      </c>
      <c r="G172" s="3">
        <v>830</v>
      </c>
      <c r="H172" s="3">
        <v>780</v>
      </c>
      <c r="I172" s="3">
        <v>789</v>
      </c>
    </row>
    <row r="173" spans="1:9"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5">
      <c r="A174" s="2" t="s">
        <v>103</v>
      </c>
      <c r="B174" s="3">
        <v>122</v>
      </c>
      <c r="C174" s="3">
        <v>125</v>
      </c>
      <c r="D174" s="3">
        <v>125</v>
      </c>
      <c r="E174" s="3">
        <v>115</v>
      </c>
      <c r="F174" s="3">
        <v>100</v>
      </c>
      <c r="G174" s="3">
        <v>80</v>
      </c>
      <c r="H174" s="3">
        <v>63</v>
      </c>
      <c r="I174" s="3">
        <v>49</v>
      </c>
    </row>
    <row r="175" spans="1:9" x14ac:dyDescent="0.35">
      <c r="A175" s="2" t="s">
        <v>107</v>
      </c>
      <c r="B175" s="3">
        <v>713</v>
      </c>
      <c r="C175" s="3">
        <v>937</v>
      </c>
      <c r="D175" s="3">
        <v>1238</v>
      </c>
      <c r="E175" s="3">
        <v>1450</v>
      </c>
      <c r="F175" s="3">
        <v>1673</v>
      </c>
      <c r="G175" s="3">
        <v>1916</v>
      </c>
      <c r="H175" s="3">
        <v>1870</v>
      </c>
      <c r="I175" s="3">
        <v>1817</v>
      </c>
    </row>
    <row r="176" spans="1:9"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5">
      <c r="A178" s="1" t="s">
        <v>121</v>
      </c>
    </row>
    <row r="179" spans="1:9" x14ac:dyDescent="0.35">
      <c r="A179" s="2" t="s">
        <v>99</v>
      </c>
      <c r="B179" s="3">
        <v>208</v>
      </c>
      <c r="C179" s="3">
        <v>242</v>
      </c>
      <c r="D179" s="3">
        <v>223</v>
      </c>
      <c r="E179" s="3">
        <v>196</v>
      </c>
      <c r="F179" s="3">
        <v>117</v>
      </c>
      <c r="G179" s="3">
        <v>110</v>
      </c>
      <c r="H179" s="3">
        <v>98</v>
      </c>
      <c r="I179" s="3">
        <v>146</v>
      </c>
    </row>
    <row r="180" spans="1:9" x14ac:dyDescent="0.35">
      <c r="A180" s="2" t="s">
        <v>100</v>
      </c>
      <c r="B180" s="3">
        <v>0</v>
      </c>
      <c r="C180" s="3">
        <v>234</v>
      </c>
      <c r="D180" s="3">
        <v>173</v>
      </c>
      <c r="E180" s="3">
        <v>240</v>
      </c>
      <c r="F180" s="3">
        <v>233</v>
      </c>
      <c r="G180" s="3">
        <v>139</v>
      </c>
      <c r="H180" s="3">
        <v>153</v>
      </c>
      <c r="I180" s="3">
        <v>197</v>
      </c>
    </row>
    <row r="181" spans="1:9" x14ac:dyDescent="0.35">
      <c r="A181" s="2" t="s">
        <v>101</v>
      </c>
      <c r="B181" s="3">
        <v>69</v>
      </c>
      <c r="C181" s="3">
        <v>44</v>
      </c>
      <c r="D181" s="3">
        <v>51</v>
      </c>
      <c r="E181" s="3">
        <v>76</v>
      </c>
      <c r="F181" s="3">
        <v>49</v>
      </c>
      <c r="G181" s="3">
        <v>28</v>
      </c>
      <c r="H181" s="3">
        <v>94</v>
      </c>
      <c r="I181" s="3">
        <v>78</v>
      </c>
    </row>
    <row r="182" spans="1:9" x14ac:dyDescent="0.35">
      <c r="A182" s="2" t="s">
        <v>117</v>
      </c>
      <c r="B182" s="3">
        <v>0</v>
      </c>
      <c r="C182" s="3">
        <v>62</v>
      </c>
      <c r="D182" s="3">
        <v>59</v>
      </c>
      <c r="E182" s="3">
        <v>49</v>
      </c>
      <c r="F182" s="3">
        <v>47</v>
      </c>
      <c r="G182" s="3">
        <v>41</v>
      </c>
      <c r="H182" s="3">
        <v>54</v>
      </c>
      <c r="I182" s="3">
        <v>56</v>
      </c>
    </row>
    <row r="183" spans="1:9" x14ac:dyDescent="0.35">
      <c r="A183" s="62" t="s">
        <v>195</v>
      </c>
      <c r="B183" s="3">
        <f>216+20+15+37</f>
        <v>288</v>
      </c>
      <c r="C183" s="3">
        <v>0</v>
      </c>
      <c r="D183" s="3">
        <v>0</v>
      </c>
      <c r="E183" s="3">
        <v>0</v>
      </c>
      <c r="F183" s="3">
        <v>0</v>
      </c>
      <c r="G183" s="3">
        <v>0</v>
      </c>
      <c r="H183" s="3">
        <v>0</v>
      </c>
      <c r="I183" s="3">
        <v>0</v>
      </c>
    </row>
    <row r="184" spans="1:9" x14ac:dyDescent="0.35">
      <c r="A184" s="2" t="s">
        <v>106</v>
      </c>
      <c r="B184" s="3">
        <v>225</v>
      </c>
      <c r="C184" s="3">
        <v>258</v>
      </c>
      <c r="D184" s="3">
        <v>278</v>
      </c>
      <c r="E184" s="3">
        <v>286</v>
      </c>
      <c r="F184" s="3">
        <v>278</v>
      </c>
      <c r="G184" s="3">
        <v>438</v>
      </c>
      <c r="H184" s="3">
        <v>278</v>
      </c>
      <c r="I184" s="3">
        <v>222</v>
      </c>
    </row>
    <row r="185" spans="1:9"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5">
      <c r="A186" s="2" t="s">
        <v>103</v>
      </c>
      <c r="B186" s="3">
        <v>69</v>
      </c>
      <c r="C186" s="3">
        <v>39</v>
      </c>
      <c r="D186" s="3">
        <v>30</v>
      </c>
      <c r="E186" s="3">
        <v>22</v>
      </c>
      <c r="F186" s="3">
        <v>18</v>
      </c>
      <c r="G186" s="3">
        <v>12</v>
      </c>
      <c r="H186" s="3">
        <v>7</v>
      </c>
      <c r="I186" s="3">
        <v>9</v>
      </c>
    </row>
    <row r="187" spans="1:9" x14ac:dyDescent="0.35">
      <c r="A187" s="2" t="s">
        <v>107</v>
      </c>
      <c r="B187" s="59">
        <f t="shared" ref="B187:H187" si="38">-(SUM(B185:B186)+B82)</f>
        <v>104</v>
      </c>
      <c r="C187" s="59">
        <f t="shared" si="38"/>
        <v>264</v>
      </c>
      <c r="D187" s="59">
        <f t="shared" si="38"/>
        <v>291</v>
      </c>
      <c r="E187" s="59">
        <f t="shared" si="38"/>
        <v>159</v>
      </c>
      <c r="F187" s="59">
        <f t="shared" si="38"/>
        <v>377</v>
      </c>
      <c r="G187" s="59">
        <f t="shared" si="38"/>
        <v>318</v>
      </c>
      <c r="H187" s="59">
        <f t="shared" si="38"/>
        <v>11</v>
      </c>
      <c r="I187" s="59">
        <f>-(SUM(I185:I186)+I82)</f>
        <v>50</v>
      </c>
    </row>
    <row r="188" spans="1:9"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row>
    <row r="189" spans="1:9"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row>
    <row r="190" spans="1:9" x14ac:dyDescent="0.35">
      <c r="A190" s="1" t="s">
        <v>123</v>
      </c>
    </row>
    <row r="191" spans="1:9" x14ac:dyDescent="0.35">
      <c r="A191" s="2" t="s">
        <v>99</v>
      </c>
      <c r="B191" s="3">
        <v>121</v>
      </c>
      <c r="C191" s="3">
        <v>133</v>
      </c>
      <c r="D191" s="3">
        <v>140</v>
      </c>
      <c r="E191" s="3">
        <v>160</v>
      </c>
      <c r="F191" s="3">
        <v>149</v>
      </c>
      <c r="G191" s="3">
        <v>148</v>
      </c>
      <c r="H191" s="3">
        <v>130</v>
      </c>
      <c r="I191" s="3">
        <v>124</v>
      </c>
    </row>
    <row r="192" spans="1:9" x14ac:dyDescent="0.35">
      <c r="A192" s="2" t="s">
        <v>100</v>
      </c>
      <c r="B192" s="3">
        <v>0</v>
      </c>
      <c r="C192" s="3">
        <v>85</v>
      </c>
      <c r="D192" s="3">
        <v>106</v>
      </c>
      <c r="E192" s="3">
        <v>116</v>
      </c>
      <c r="F192" s="3">
        <v>111</v>
      </c>
      <c r="G192" s="3">
        <v>132</v>
      </c>
      <c r="H192" s="3">
        <v>136</v>
      </c>
      <c r="I192" s="3">
        <v>134</v>
      </c>
    </row>
    <row r="193" spans="1:9" x14ac:dyDescent="0.35">
      <c r="A193" s="2" t="s">
        <v>101</v>
      </c>
      <c r="B193" s="3">
        <v>46</v>
      </c>
      <c r="C193" s="3">
        <v>48</v>
      </c>
      <c r="D193" s="3">
        <v>54</v>
      </c>
      <c r="E193" s="3">
        <v>56</v>
      </c>
      <c r="F193" s="3">
        <v>50</v>
      </c>
      <c r="G193" s="3">
        <v>44</v>
      </c>
      <c r="H193" s="3">
        <v>46</v>
      </c>
      <c r="I193" s="3">
        <v>41</v>
      </c>
    </row>
    <row r="194" spans="1:9" x14ac:dyDescent="0.35">
      <c r="A194" s="2" t="s">
        <v>105</v>
      </c>
      <c r="B194" s="3">
        <v>0</v>
      </c>
      <c r="C194" s="3">
        <v>42</v>
      </c>
      <c r="D194" s="3">
        <v>54</v>
      </c>
      <c r="E194" s="3">
        <v>55</v>
      </c>
      <c r="F194" s="3">
        <v>53</v>
      </c>
      <c r="G194" s="3">
        <v>46</v>
      </c>
      <c r="H194" s="3">
        <v>43</v>
      </c>
      <c r="I194" s="3">
        <v>42</v>
      </c>
    </row>
    <row r="195" spans="1:9" x14ac:dyDescent="0.35">
      <c r="A195" s="62" t="s">
        <v>195</v>
      </c>
      <c r="B195" s="3">
        <f>75+12+22+27</f>
        <v>136</v>
      </c>
      <c r="C195" s="3">
        <v>0</v>
      </c>
      <c r="D195" s="3">
        <v>0</v>
      </c>
      <c r="E195" s="3">
        <v>0</v>
      </c>
      <c r="F195" s="3">
        <v>0</v>
      </c>
      <c r="G195" s="3">
        <v>0</v>
      </c>
      <c r="H195" s="3">
        <v>0</v>
      </c>
      <c r="I195" s="3">
        <v>0</v>
      </c>
    </row>
    <row r="196" spans="1:9" x14ac:dyDescent="0.35">
      <c r="A196" s="2" t="s">
        <v>106</v>
      </c>
      <c r="B196" s="3">
        <v>210</v>
      </c>
      <c r="C196" s="3">
        <v>230</v>
      </c>
      <c r="D196" s="3">
        <v>233</v>
      </c>
      <c r="E196" s="3">
        <v>217</v>
      </c>
      <c r="F196" s="3">
        <v>195</v>
      </c>
      <c r="G196" s="3">
        <v>214</v>
      </c>
      <c r="H196" s="3">
        <v>222</v>
      </c>
      <c r="I196" s="3">
        <v>220</v>
      </c>
    </row>
    <row r="197" spans="1:9"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5">
      <c r="A198" s="2" t="s">
        <v>103</v>
      </c>
      <c r="B198" s="3">
        <v>18</v>
      </c>
      <c r="C198" s="3">
        <v>27</v>
      </c>
      <c r="D198" s="3">
        <v>28</v>
      </c>
      <c r="E198" s="3">
        <v>33</v>
      </c>
      <c r="F198" s="3">
        <v>31</v>
      </c>
      <c r="G198" s="3">
        <v>25</v>
      </c>
      <c r="H198" s="3">
        <v>26</v>
      </c>
      <c r="I198" s="3">
        <v>22</v>
      </c>
    </row>
    <row r="199" spans="1:9" x14ac:dyDescent="0.35">
      <c r="A199" s="2" t="s">
        <v>107</v>
      </c>
      <c r="B199" s="3">
        <v>75</v>
      </c>
      <c r="C199" s="3">
        <v>84</v>
      </c>
      <c r="D199" s="3">
        <v>91</v>
      </c>
      <c r="E199" s="3">
        <v>110</v>
      </c>
      <c r="F199" s="3">
        <v>116</v>
      </c>
      <c r="G199" s="3">
        <v>112</v>
      </c>
      <c r="H199" s="3">
        <v>141</v>
      </c>
      <c r="I199" s="3">
        <v>134</v>
      </c>
    </row>
    <row r="200" spans="1:9"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5">
      <c r="A202" s="14" t="s">
        <v>125</v>
      </c>
      <c r="B202" s="14"/>
      <c r="C202" s="14"/>
      <c r="D202" s="14"/>
      <c r="E202" s="14"/>
      <c r="F202" s="14"/>
      <c r="G202" s="14"/>
      <c r="H202" s="14"/>
      <c r="I202" s="14"/>
    </row>
    <row r="203" spans="1:9" x14ac:dyDescent="0.35">
      <c r="A203" s="28" t="s">
        <v>126</v>
      </c>
    </row>
    <row r="204" spans="1:9" x14ac:dyDescent="0.35">
      <c r="A204" s="32" t="s">
        <v>99</v>
      </c>
      <c r="B204" s="63">
        <v>0.12</v>
      </c>
      <c r="C204" s="63">
        <v>0.08</v>
      </c>
      <c r="D204" s="63">
        <v>0.03</v>
      </c>
      <c r="E204" s="63">
        <v>-0.02</v>
      </c>
      <c r="F204" s="63">
        <v>7.0000000000000007E-2</v>
      </c>
      <c r="G204" s="63">
        <v>-0.09</v>
      </c>
      <c r="H204" s="63">
        <v>0.19</v>
      </c>
      <c r="I204" s="63">
        <v>7.0000000000000007E-2</v>
      </c>
    </row>
    <row r="205" spans="1:9" x14ac:dyDescent="0.35">
      <c r="A205" s="30" t="s">
        <v>112</v>
      </c>
      <c r="B205" s="64">
        <v>0.14000000000000001</v>
      </c>
      <c r="C205" s="64">
        <v>0.1</v>
      </c>
      <c r="D205" s="64">
        <v>0.04</v>
      </c>
      <c r="E205" s="64">
        <v>-0.04</v>
      </c>
      <c r="F205" s="64">
        <v>0.08</v>
      </c>
      <c r="G205" s="64">
        <v>-7.0000000000000007E-2</v>
      </c>
      <c r="H205" s="64">
        <v>0.25</v>
      </c>
      <c r="I205" s="64">
        <v>0.05</v>
      </c>
    </row>
    <row r="206" spans="1:9" x14ac:dyDescent="0.35">
      <c r="A206" s="30" t="s">
        <v>113</v>
      </c>
      <c r="B206" s="64">
        <v>0.12</v>
      </c>
      <c r="C206" s="64">
        <v>0.08</v>
      </c>
      <c r="D206" s="64">
        <v>0.03</v>
      </c>
      <c r="E206" s="64">
        <v>0.01</v>
      </c>
      <c r="F206" s="64">
        <v>7.0000000000000007E-2</v>
      </c>
      <c r="G206" s="64">
        <v>-0.12</v>
      </c>
      <c r="H206" s="64">
        <v>0.08</v>
      </c>
      <c r="I206" s="64">
        <v>0.09</v>
      </c>
    </row>
    <row r="207" spans="1:9" x14ac:dyDescent="0.35">
      <c r="A207" s="30" t="s">
        <v>114</v>
      </c>
      <c r="B207" s="64">
        <v>-0.05</v>
      </c>
      <c r="C207" s="64">
        <v>-0.13</v>
      </c>
      <c r="D207" s="64">
        <v>-0.1</v>
      </c>
      <c r="E207" s="64">
        <v>-0.08</v>
      </c>
      <c r="F207" s="64">
        <v>0</v>
      </c>
      <c r="G207" s="64">
        <v>-0.14000000000000001</v>
      </c>
      <c r="H207" s="64">
        <v>-0.02</v>
      </c>
      <c r="I207" s="64">
        <v>0.25</v>
      </c>
    </row>
    <row r="208" spans="1:9" x14ac:dyDescent="0.35">
      <c r="A208" s="32" t="s">
        <v>100</v>
      </c>
      <c r="B208" s="36"/>
      <c r="C208" s="36"/>
      <c r="D208" s="63">
        <v>0.1</v>
      </c>
      <c r="E208" s="63">
        <v>0.09</v>
      </c>
      <c r="F208" s="63">
        <v>0.11</v>
      </c>
      <c r="G208" s="63">
        <v>-0.01</v>
      </c>
      <c r="H208" s="63">
        <v>0.17</v>
      </c>
      <c r="I208" s="63">
        <v>0.12</v>
      </c>
    </row>
    <row r="209" spans="1:9" x14ac:dyDescent="0.35">
      <c r="A209" s="30" t="s">
        <v>112</v>
      </c>
      <c r="B209" s="65"/>
      <c r="C209" s="65"/>
      <c r="D209" s="64">
        <v>0.08</v>
      </c>
      <c r="E209" s="64">
        <v>0.06</v>
      </c>
      <c r="F209" s="64">
        <v>0.12</v>
      </c>
      <c r="G209" s="64">
        <v>-0.03</v>
      </c>
      <c r="H209" s="64">
        <v>0.13</v>
      </c>
      <c r="I209" s="64">
        <v>0.09</v>
      </c>
    </row>
    <row r="210" spans="1:9" x14ac:dyDescent="0.35">
      <c r="A210" s="30" t="s">
        <v>113</v>
      </c>
      <c r="B210" s="65"/>
      <c r="C210" s="65"/>
      <c r="D210" s="64">
        <v>0.17</v>
      </c>
      <c r="E210" s="64">
        <v>0.16</v>
      </c>
      <c r="F210" s="64">
        <v>0.09</v>
      </c>
      <c r="G210" s="64">
        <v>0.02</v>
      </c>
      <c r="H210" s="64">
        <v>0.25</v>
      </c>
      <c r="I210" s="64">
        <v>0.16</v>
      </c>
    </row>
    <row r="211" spans="1:9" x14ac:dyDescent="0.35">
      <c r="A211" s="30" t="s">
        <v>114</v>
      </c>
      <c r="B211" s="65"/>
      <c r="C211" s="65"/>
      <c r="D211" s="64">
        <v>7.0000000000000007E-2</v>
      </c>
      <c r="E211" s="64">
        <v>0.06</v>
      </c>
      <c r="F211" s="64">
        <v>0.05</v>
      </c>
      <c r="G211" s="64">
        <v>-0.03</v>
      </c>
      <c r="H211" s="64">
        <v>0.19</v>
      </c>
      <c r="I211" s="64">
        <v>0.17</v>
      </c>
    </row>
    <row r="212" spans="1:9" x14ac:dyDescent="0.35">
      <c r="A212" s="32" t="s">
        <v>101</v>
      </c>
      <c r="B212" s="63">
        <v>0.19</v>
      </c>
      <c r="C212" s="63">
        <v>0.27</v>
      </c>
      <c r="D212" s="63">
        <v>0.17</v>
      </c>
      <c r="E212" s="63">
        <v>0.18</v>
      </c>
      <c r="F212" s="63">
        <v>0.24</v>
      </c>
      <c r="G212" s="63">
        <v>0.11</v>
      </c>
      <c r="H212" s="63">
        <v>0.19</v>
      </c>
      <c r="I212" s="63">
        <v>-0.13</v>
      </c>
    </row>
    <row r="213" spans="1:9" x14ac:dyDescent="0.35">
      <c r="A213" s="30" t="s">
        <v>112</v>
      </c>
      <c r="B213" s="64">
        <v>0.28000000000000003</v>
      </c>
      <c r="C213" s="64">
        <v>0.33</v>
      </c>
      <c r="D213" s="64">
        <v>0.18</v>
      </c>
      <c r="E213" s="64">
        <v>0.16</v>
      </c>
      <c r="F213" s="64">
        <v>0.25</v>
      </c>
      <c r="G213" s="64">
        <v>0.12</v>
      </c>
      <c r="H213" s="64">
        <v>0.19</v>
      </c>
      <c r="I213" s="64">
        <v>-0.1</v>
      </c>
    </row>
    <row r="214" spans="1:9" x14ac:dyDescent="0.35">
      <c r="A214" s="30" t="s">
        <v>113</v>
      </c>
      <c r="B214" s="64">
        <v>7.0000000000000007E-2</v>
      </c>
      <c r="C214" s="64">
        <v>0.17</v>
      </c>
      <c r="D214" s="64">
        <v>0.18</v>
      </c>
      <c r="E214" s="64">
        <v>0.23</v>
      </c>
      <c r="F214" s="64">
        <v>0.23</v>
      </c>
      <c r="G214" s="64">
        <v>0.08</v>
      </c>
      <c r="H214" s="64">
        <v>0.19</v>
      </c>
      <c r="I214" s="64">
        <v>-0.21</v>
      </c>
    </row>
    <row r="215" spans="1:9" x14ac:dyDescent="0.35">
      <c r="A215" s="30" t="s">
        <v>114</v>
      </c>
      <c r="B215" s="64">
        <v>0.01</v>
      </c>
      <c r="C215" s="64">
        <v>7.0000000000000007E-2</v>
      </c>
      <c r="D215" s="64">
        <v>0.03</v>
      </c>
      <c r="E215" s="64">
        <v>-0.01</v>
      </c>
      <c r="F215" s="64">
        <v>0.08</v>
      </c>
      <c r="G215" s="64">
        <v>0.11</v>
      </c>
      <c r="H215" s="64">
        <v>0.26</v>
      </c>
      <c r="I215" s="64">
        <v>-0.06</v>
      </c>
    </row>
    <row r="216" spans="1:9" x14ac:dyDescent="0.35">
      <c r="A216" s="32" t="s">
        <v>105</v>
      </c>
      <c r="B216" s="36"/>
      <c r="C216" s="36"/>
      <c r="D216" s="63">
        <v>0.13</v>
      </c>
      <c r="E216" s="63">
        <v>0.1</v>
      </c>
      <c r="F216" s="63">
        <v>0.13</v>
      </c>
      <c r="G216" s="63">
        <v>0.01</v>
      </c>
      <c r="H216" s="63">
        <v>0.08</v>
      </c>
      <c r="I216" s="63">
        <v>0.16</v>
      </c>
    </row>
    <row r="217" spans="1:9" x14ac:dyDescent="0.35">
      <c r="A217" s="30" t="s">
        <v>112</v>
      </c>
      <c r="B217" s="65"/>
      <c r="C217" s="65"/>
      <c r="D217" s="64">
        <v>0.16</v>
      </c>
      <c r="E217" s="64">
        <v>0.09</v>
      </c>
      <c r="F217" s="64">
        <v>0.12</v>
      </c>
      <c r="G217" s="64">
        <v>0</v>
      </c>
      <c r="H217" s="64">
        <v>0.08</v>
      </c>
      <c r="I217" s="64">
        <v>0.17</v>
      </c>
    </row>
    <row r="218" spans="1:9" x14ac:dyDescent="0.35">
      <c r="A218" s="30" t="s">
        <v>113</v>
      </c>
      <c r="B218" s="65"/>
      <c r="C218" s="65"/>
      <c r="D218" s="64">
        <v>0.09</v>
      </c>
      <c r="E218" s="64">
        <v>0.15</v>
      </c>
      <c r="F218" s="64">
        <v>0.15</v>
      </c>
      <c r="G218" s="64">
        <v>0.03</v>
      </c>
      <c r="H218" s="64">
        <v>0.19</v>
      </c>
      <c r="I218" s="64">
        <v>0.12</v>
      </c>
    </row>
    <row r="219" spans="1:9" x14ac:dyDescent="0.35">
      <c r="A219" s="30" t="s">
        <v>114</v>
      </c>
      <c r="B219" s="65"/>
      <c r="C219" s="65"/>
      <c r="D219" s="64">
        <v>-0.01</v>
      </c>
      <c r="E219" s="64">
        <v>-0.08</v>
      </c>
      <c r="F219" s="64">
        <v>0.08</v>
      </c>
      <c r="G219" s="64">
        <v>-0.04</v>
      </c>
      <c r="H219" s="64">
        <v>-0.09</v>
      </c>
      <c r="I219" s="64">
        <v>0.28000000000000003</v>
      </c>
    </row>
    <row r="220" spans="1:9" x14ac:dyDescent="0.35">
      <c r="A220" s="32" t="s">
        <v>191</v>
      </c>
      <c r="B220" s="63">
        <v>0.21</v>
      </c>
      <c r="C220" s="63">
        <v>0.14000000000000001</v>
      </c>
      <c r="D220" s="63"/>
      <c r="E220" s="63"/>
      <c r="F220" s="63"/>
      <c r="G220" s="63"/>
      <c r="H220" s="63"/>
      <c r="I220" s="63"/>
    </row>
    <row r="221" spans="1:9" x14ac:dyDescent="0.35">
      <c r="A221" s="30" t="s">
        <v>112</v>
      </c>
      <c r="B221" s="64">
        <v>0.25</v>
      </c>
      <c r="C221" s="64">
        <v>0.14000000000000001</v>
      </c>
      <c r="D221" s="64"/>
      <c r="E221" s="64"/>
      <c r="F221" s="64"/>
      <c r="G221" s="64"/>
      <c r="H221" s="64"/>
      <c r="I221" s="64"/>
    </row>
    <row r="222" spans="1:9" x14ac:dyDescent="0.35">
      <c r="A222" s="30" t="s">
        <v>113</v>
      </c>
      <c r="B222" s="64">
        <v>0.14000000000000001</v>
      </c>
      <c r="C222" s="64">
        <v>0.18</v>
      </c>
      <c r="D222" s="64"/>
      <c r="E222" s="64"/>
      <c r="F222" s="64"/>
      <c r="G222" s="64"/>
      <c r="H222" s="64"/>
      <c r="I222" s="64"/>
    </row>
    <row r="223" spans="1:9" x14ac:dyDescent="0.35">
      <c r="A223" s="30" t="s">
        <v>114</v>
      </c>
      <c r="B223" s="64">
        <v>0.15</v>
      </c>
      <c r="C223" s="64">
        <v>0.08</v>
      </c>
      <c r="D223" s="64"/>
      <c r="E223" s="64"/>
      <c r="F223" s="64"/>
      <c r="G223" s="64"/>
      <c r="H223" s="64"/>
      <c r="I223" s="64"/>
    </row>
    <row r="224" spans="1:9" x14ac:dyDescent="0.35">
      <c r="A224" s="32" t="s">
        <v>192</v>
      </c>
      <c r="B224" s="63">
        <v>0.15</v>
      </c>
      <c r="C224" s="63">
        <v>0.17</v>
      </c>
      <c r="D224" s="63"/>
      <c r="E224" s="63"/>
      <c r="F224" s="63"/>
      <c r="G224" s="63"/>
      <c r="H224" s="63"/>
      <c r="I224" s="63"/>
    </row>
    <row r="225" spans="1:9" x14ac:dyDescent="0.35">
      <c r="A225" s="30" t="s">
        <v>112</v>
      </c>
      <c r="B225" s="64">
        <v>0.22</v>
      </c>
      <c r="C225" s="64">
        <v>0.23</v>
      </c>
      <c r="D225" s="63"/>
      <c r="E225" s="63"/>
      <c r="F225" s="64"/>
      <c r="G225" s="64"/>
      <c r="H225" s="64"/>
      <c r="I225" s="64"/>
    </row>
    <row r="226" spans="1:9" x14ac:dyDescent="0.35">
      <c r="A226" s="30" t="s">
        <v>113</v>
      </c>
      <c r="B226" s="64">
        <v>0.05</v>
      </c>
      <c r="C226" s="64">
        <v>0.09</v>
      </c>
      <c r="D226" s="63"/>
      <c r="E226" s="63"/>
      <c r="F226" s="64"/>
      <c r="G226" s="64"/>
      <c r="H226" s="64"/>
      <c r="I226" s="64"/>
    </row>
    <row r="227" spans="1:9" x14ac:dyDescent="0.35">
      <c r="A227" s="30" t="s">
        <v>114</v>
      </c>
      <c r="B227" s="64">
        <v>0.14000000000000001</v>
      </c>
      <c r="C227" s="64">
        <v>7.0000000000000007E-2</v>
      </c>
      <c r="D227" s="63"/>
      <c r="E227" s="63"/>
      <c r="F227" s="64"/>
      <c r="G227" s="64"/>
      <c r="H227" s="64"/>
      <c r="I227" s="64"/>
    </row>
    <row r="228" spans="1:9" x14ac:dyDescent="0.35">
      <c r="A228" s="32" t="s">
        <v>193</v>
      </c>
      <c r="B228" s="63">
        <v>0.09</v>
      </c>
      <c r="C228" s="63">
        <v>0.22</v>
      </c>
      <c r="D228" s="63"/>
      <c r="E228" s="63"/>
      <c r="F228" s="63"/>
      <c r="G228" s="63"/>
      <c r="H228" s="63"/>
      <c r="I228" s="63"/>
    </row>
    <row r="229" spans="1:9" x14ac:dyDescent="0.35">
      <c r="A229" s="30" t="s">
        <v>112</v>
      </c>
      <c r="B229" s="64">
        <v>0.23</v>
      </c>
      <c r="C229" s="64">
        <v>0.34</v>
      </c>
      <c r="D229" s="63"/>
      <c r="E229" s="63"/>
      <c r="F229" s="64"/>
      <c r="G229" s="64"/>
      <c r="H229" s="64"/>
      <c r="I229" s="64"/>
    </row>
    <row r="230" spans="1:9" x14ac:dyDescent="0.35">
      <c r="A230" s="30" t="s">
        <v>113</v>
      </c>
      <c r="B230" s="64">
        <v>-0.08</v>
      </c>
      <c r="C230" s="64">
        <v>0.05</v>
      </c>
      <c r="D230" s="63"/>
      <c r="E230" s="63"/>
      <c r="F230" s="64"/>
      <c r="G230" s="64"/>
      <c r="H230" s="64"/>
      <c r="I230" s="64"/>
    </row>
    <row r="231" spans="1:9" x14ac:dyDescent="0.35">
      <c r="A231" s="30" t="s">
        <v>114</v>
      </c>
      <c r="B231" s="64">
        <v>-0.06</v>
      </c>
      <c r="C231" s="64">
        <v>0.03</v>
      </c>
      <c r="D231" s="63"/>
      <c r="E231" s="63"/>
      <c r="F231" s="64"/>
      <c r="G231" s="64"/>
      <c r="H231" s="64"/>
      <c r="I231" s="64"/>
    </row>
    <row r="232" spans="1:9" x14ac:dyDescent="0.35">
      <c r="A232" s="32" t="s">
        <v>194</v>
      </c>
      <c r="B232" s="63">
        <v>0.08</v>
      </c>
      <c r="C232" s="63">
        <v>0.13</v>
      </c>
      <c r="D232" s="63"/>
      <c r="E232" s="63"/>
      <c r="F232" s="63"/>
      <c r="G232" s="63"/>
      <c r="H232" s="63"/>
      <c r="I232" s="63"/>
    </row>
    <row r="233" spans="1:9" x14ac:dyDescent="0.35">
      <c r="A233" s="30" t="s">
        <v>112</v>
      </c>
      <c r="B233" s="64">
        <v>0.09</v>
      </c>
      <c r="C233" s="64">
        <v>0.14000000000000001</v>
      </c>
      <c r="D233" s="63"/>
      <c r="E233" s="63"/>
      <c r="F233" s="64"/>
      <c r="G233" s="64"/>
      <c r="H233" s="64"/>
      <c r="I233" s="64"/>
    </row>
    <row r="234" spans="1:9" x14ac:dyDescent="0.35">
      <c r="A234" s="30" t="s">
        <v>113</v>
      </c>
      <c r="B234" s="64">
        <v>0.05</v>
      </c>
      <c r="C234" s="64">
        <v>0.11</v>
      </c>
      <c r="D234" s="63"/>
      <c r="E234" s="63"/>
      <c r="F234" s="64"/>
      <c r="G234" s="64"/>
      <c r="H234" s="64"/>
      <c r="I234" s="64"/>
    </row>
    <row r="235" spans="1:9" x14ac:dyDescent="0.35">
      <c r="A235" s="30" t="s">
        <v>114</v>
      </c>
      <c r="B235" s="64">
        <v>0.05</v>
      </c>
      <c r="C235" s="64">
        <v>0.11</v>
      </c>
      <c r="D235" s="63"/>
      <c r="E235" s="63"/>
      <c r="F235" s="64"/>
      <c r="G235" s="64"/>
      <c r="H235" s="64"/>
      <c r="I235" s="64"/>
    </row>
    <row r="236" spans="1:9" x14ac:dyDescent="0.35">
      <c r="A236" s="32" t="s">
        <v>106</v>
      </c>
      <c r="B236" s="63">
        <v>-0.02</v>
      </c>
      <c r="C236" s="63">
        <v>-0.3</v>
      </c>
      <c r="D236" s="63">
        <v>0.02</v>
      </c>
      <c r="E236" s="63">
        <v>0.12</v>
      </c>
      <c r="F236" s="63">
        <v>-0.53</v>
      </c>
      <c r="G236" s="63">
        <v>-0.26</v>
      </c>
      <c r="H236" s="63">
        <v>-0.17</v>
      </c>
      <c r="I236" s="63">
        <v>3.02</v>
      </c>
    </row>
    <row r="237" spans="1:9" x14ac:dyDescent="0.35">
      <c r="A237" s="33" t="s">
        <v>102</v>
      </c>
      <c r="B237" s="66">
        <v>0.14000000000000001</v>
      </c>
      <c r="C237" s="66">
        <v>0.13</v>
      </c>
      <c r="D237" s="66">
        <v>0.08</v>
      </c>
      <c r="E237" s="66">
        <v>0.05</v>
      </c>
      <c r="F237" s="66">
        <v>0.11</v>
      </c>
      <c r="G237" s="66">
        <v>-0.02</v>
      </c>
      <c r="H237" s="66">
        <v>0.17</v>
      </c>
      <c r="I237" s="66">
        <v>0.06</v>
      </c>
    </row>
    <row r="238" spans="1:9" x14ac:dyDescent="0.35">
      <c r="A238" s="32" t="s">
        <v>103</v>
      </c>
      <c r="B238" s="63">
        <v>0.21</v>
      </c>
      <c r="C238" s="63">
        <v>0.02</v>
      </c>
      <c r="D238" s="63">
        <v>0.06</v>
      </c>
      <c r="E238" s="63">
        <v>-0.11</v>
      </c>
      <c r="F238" s="63">
        <v>0.03</v>
      </c>
      <c r="G238" s="63">
        <v>-0.01</v>
      </c>
      <c r="H238" s="63">
        <v>0.16</v>
      </c>
      <c r="I238" s="63">
        <v>7.0000000000000007E-2</v>
      </c>
    </row>
    <row r="239" spans="1:9" x14ac:dyDescent="0.35">
      <c r="A239" s="30" t="s">
        <v>112</v>
      </c>
      <c r="B239" s="65">
        <v>0</v>
      </c>
      <c r="C239" s="65">
        <v>0</v>
      </c>
      <c r="D239" s="65">
        <v>0</v>
      </c>
      <c r="E239" s="65">
        <v>0</v>
      </c>
      <c r="F239" s="64">
        <v>0.05</v>
      </c>
      <c r="G239" s="64">
        <v>0.01</v>
      </c>
      <c r="H239" s="64">
        <v>0.17</v>
      </c>
      <c r="I239" s="64">
        <v>0.06</v>
      </c>
    </row>
    <row r="240" spans="1:9" x14ac:dyDescent="0.35">
      <c r="A240" s="30" t="s">
        <v>113</v>
      </c>
      <c r="B240" s="65">
        <v>0</v>
      </c>
      <c r="C240" s="65">
        <v>0</v>
      </c>
      <c r="D240" s="65">
        <v>0</v>
      </c>
      <c r="E240" s="65">
        <v>0</v>
      </c>
      <c r="F240" s="64">
        <v>-0.17</v>
      </c>
      <c r="G240" s="64">
        <v>-0.22</v>
      </c>
      <c r="H240" s="64">
        <v>0.13</v>
      </c>
      <c r="I240" s="64">
        <v>-0.03</v>
      </c>
    </row>
    <row r="241" spans="1:9" x14ac:dyDescent="0.35">
      <c r="A241" s="30" t="s">
        <v>114</v>
      </c>
      <c r="B241" s="65">
        <v>0</v>
      </c>
      <c r="C241" s="65">
        <v>0</v>
      </c>
      <c r="D241" s="65">
        <v>0</v>
      </c>
      <c r="E241" s="65">
        <v>0</v>
      </c>
      <c r="F241" s="64">
        <v>-0.13</v>
      </c>
      <c r="G241" s="64">
        <v>0.08</v>
      </c>
      <c r="H241" s="64">
        <v>0.14000000000000001</v>
      </c>
      <c r="I241" s="64">
        <v>-0.16</v>
      </c>
    </row>
    <row r="242" spans="1:9" x14ac:dyDescent="0.35">
      <c r="A242" s="30" t="s">
        <v>120</v>
      </c>
      <c r="B242" s="65">
        <v>0</v>
      </c>
      <c r="C242" s="65">
        <v>0</v>
      </c>
      <c r="D242" s="65">
        <v>0</v>
      </c>
      <c r="E242" s="65">
        <v>0</v>
      </c>
      <c r="F242" s="64">
        <v>0.04</v>
      </c>
      <c r="G242" s="64">
        <v>-0.14000000000000001</v>
      </c>
      <c r="H242" s="64">
        <v>-0.01</v>
      </c>
      <c r="I242" s="64">
        <v>0.42</v>
      </c>
    </row>
    <row r="243" spans="1:9" x14ac:dyDescent="0.35">
      <c r="A243" s="29" t="s">
        <v>107</v>
      </c>
      <c r="B243" s="64">
        <v>0</v>
      </c>
      <c r="C243" s="64">
        <v>0</v>
      </c>
      <c r="D243" s="64">
        <v>0</v>
      </c>
      <c r="E243" s="64">
        <v>0</v>
      </c>
      <c r="F243" s="64">
        <v>0</v>
      </c>
      <c r="G243" s="64">
        <v>0</v>
      </c>
      <c r="H243" s="64">
        <v>0</v>
      </c>
      <c r="I243" s="64">
        <v>0</v>
      </c>
    </row>
    <row r="244" spans="1:9" ht="15" thickBot="1" x14ac:dyDescent="0.4">
      <c r="A244" s="31" t="s">
        <v>104</v>
      </c>
      <c r="B244" s="67">
        <v>0.14000000000000001</v>
      </c>
      <c r="C244" s="67">
        <v>0.12</v>
      </c>
      <c r="D244" s="67">
        <v>0.08</v>
      </c>
      <c r="E244" s="67">
        <v>0.04</v>
      </c>
      <c r="F244" s="67">
        <v>0.11</v>
      </c>
      <c r="G244" s="67">
        <v>-0.02</v>
      </c>
      <c r="H244" s="67">
        <v>0.17</v>
      </c>
      <c r="I244" s="67">
        <v>0.06</v>
      </c>
    </row>
    <row r="245"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15"/>
  <sheetViews>
    <sheetView tabSelected="1" workbookViewId="0">
      <pane ySplit="1" topLeftCell="A192" activePane="bottomLeft" state="frozen"/>
      <selection pane="bottomLeft" activeCell="P150" sqref="P150:P215"/>
    </sheetView>
  </sheetViews>
  <sheetFormatPr defaultRowHeight="14.5" x14ac:dyDescent="0.35"/>
  <cols>
    <col min="1" max="1" width="48.81640625" customWidth="1"/>
    <col min="2" max="14" width="11.81640625" customWidth="1"/>
    <col min="15" max="15" width="54" bestFit="1" customWidth="1"/>
    <col min="16" max="16" width="91" customWidth="1"/>
    <col min="17" max="17" width="8.7265625" customWidth="1"/>
    <col min="18" max="18" width="48.81640625" customWidth="1"/>
    <col min="19" max="21" width="11.81640625" customWidth="1"/>
  </cols>
  <sheetData>
    <row r="1" spans="1:29"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 t="shared" ref="L1:N1" si="1">+K1+1</f>
        <v>2025</v>
      </c>
      <c r="M1" s="34">
        <f t="shared" si="1"/>
        <v>2026</v>
      </c>
      <c r="N1" s="34">
        <f t="shared" si="1"/>
        <v>2027</v>
      </c>
      <c r="P1" s="74"/>
      <c r="Q1" s="19"/>
      <c r="R1" s="77" t="s">
        <v>211</v>
      </c>
      <c r="S1" s="78"/>
      <c r="T1" s="78"/>
      <c r="U1" s="78"/>
      <c r="V1" s="19"/>
      <c r="W1" s="19"/>
      <c r="X1" s="19"/>
      <c r="Y1" s="19"/>
      <c r="Z1" s="19"/>
      <c r="AA1" s="19"/>
      <c r="AB1" s="19"/>
      <c r="AC1" s="19"/>
    </row>
    <row r="2" spans="1:29" x14ac:dyDescent="0.35">
      <c r="A2" s="35" t="s">
        <v>127</v>
      </c>
      <c r="B2" s="35"/>
      <c r="C2" s="35"/>
      <c r="D2" s="35"/>
      <c r="E2" s="35"/>
      <c r="F2" s="35"/>
      <c r="G2" s="35"/>
      <c r="H2" s="35"/>
      <c r="I2" s="35"/>
      <c r="J2" s="34"/>
      <c r="K2" s="34"/>
      <c r="L2" s="34"/>
      <c r="M2" s="34"/>
      <c r="N2" s="34"/>
      <c r="P2" s="74"/>
      <c r="R2" s="35" t="s">
        <v>127</v>
      </c>
      <c r="S2" s="78" t="s">
        <v>212</v>
      </c>
      <c r="T2" s="78" t="s">
        <v>213</v>
      </c>
      <c r="U2" s="78" t="s">
        <v>214</v>
      </c>
    </row>
    <row r="3" spans="1:29" x14ac:dyDescent="0.35">
      <c r="A3" s="36" t="s">
        <v>138</v>
      </c>
      <c r="B3" s="9">
        <f>B21+B52+B85+B118+B151+B172+B179+B198</f>
        <v>30601</v>
      </c>
      <c r="C3" s="9">
        <f t="shared" ref="C3:N3" si="2">C21+C52+C85+C118+C151+C172+C179+C198</f>
        <v>32376</v>
      </c>
      <c r="D3" s="9">
        <f t="shared" si="2"/>
        <v>34350</v>
      </c>
      <c r="E3" s="9">
        <f t="shared" si="2"/>
        <v>36397</v>
      </c>
      <c r="F3" s="9">
        <f t="shared" si="2"/>
        <v>39117</v>
      </c>
      <c r="G3" s="9">
        <f t="shared" si="2"/>
        <v>37403</v>
      </c>
      <c r="H3" s="9">
        <f t="shared" si="2"/>
        <v>44538</v>
      </c>
      <c r="I3" s="9">
        <f t="shared" si="2"/>
        <v>46710</v>
      </c>
      <c r="J3" s="9">
        <f>J21+J52+J85+J118+J151+J172+J179+J198</f>
        <v>51173.683958216752</v>
      </c>
      <c r="K3" s="9">
        <f t="shared" si="2"/>
        <v>56173.074165677775</v>
      </c>
      <c r="L3" s="9">
        <f t="shared" si="2"/>
        <v>61781.387525484264</v>
      </c>
      <c r="M3" s="9">
        <f t="shared" si="2"/>
        <v>68082.809277635868</v>
      </c>
      <c r="N3" s="9">
        <f t="shared" si="2"/>
        <v>75174.236376470915</v>
      </c>
      <c r="P3" s="83" t="s">
        <v>215</v>
      </c>
      <c r="R3" s="36" t="s">
        <v>138</v>
      </c>
      <c r="S3" s="9">
        <f>S9+S21+S33+S45+S57+S172+S63+S69</f>
        <v>51160.061666666668</v>
      </c>
      <c r="T3" s="9">
        <f>T9+T21+T33+T45+T57+T172+T63+T69</f>
        <v>51217</v>
      </c>
      <c r="U3" s="9">
        <f>T3-S3</f>
        <v>56.938333333331684</v>
      </c>
    </row>
    <row r="4" spans="1:29" x14ac:dyDescent="0.35">
      <c r="A4" s="37" t="s">
        <v>128</v>
      </c>
      <c r="B4" s="42" t="str">
        <f t="shared" ref="B4:H4" si="3">+IFERROR(B3/A3-1,"nm")</f>
        <v>nm</v>
      </c>
      <c r="C4" s="42">
        <f t="shared" si="3"/>
        <v>5.8004640371229765E-2</v>
      </c>
      <c r="D4" s="42">
        <f t="shared" si="3"/>
        <v>6.0971089696071123E-2</v>
      </c>
      <c r="E4" s="42">
        <f t="shared" si="3"/>
        <v>5.95924308588065E-2</v>
      </c>
      <c r="F4" s="42">
        <f t="shared" si="3"/>
        <v>7.4731433909388079E-2</v>
      </c>
      <c r="G4" s="42">
        <f t="shared" si="3"/>
        <v>-4.3817266150267153E-2</v>
      </c>
      <c r="H4" s="42">
        <f t="shared" si="3"/>
        <v>0.19076009945726269</v>
      </c>
      <c r="I4" s="42">
        <f>+IFERROR(I3/H3-1,"nm")</f>
        <v>4.8767344739323759E-2</v>
      </c>
      <c r="J4" s="42">
        <f t="shared" ref="J4:N4" si="4">+IFERROR(J3/I3-1,"nm")</f>
        <v>9.5561634729538714E-2</v>
      </c>
      <c r="K4" s="42">
        <f>+IFERROR(K3/J3-1,"nm")</f>
        <v>9.7694553543243412E-2</v>
      </c>
      <c r="L4" s="42">
        <f t="shared" si="4"/>
        <v>9.983988669135746E-2</v>
      </c>
      <c r="M4" s="42">
        <f t="shared" si="4"/>
        <v>0.10199547152534127</v>
      </c>
      <c r="N4" s="42">
        <f t="shared" si="4"/>
        <v>0.104158849701939</v>
      </c>
      <c r="P4" s="83"/>
      <c r="R4" s="37" t="s">
        <v>128</v>
      </c>
      <c r="S4" s="42">
        <f>J4</f>
        <v>9.5561634729538714E-2</v>
      </c>
      <c r="T4" s="42">
        <f>+IFERROR(T3/I3-1,"nm")</f>
        <v>9.6488974523656568E-2</v>
      </c>
      <c r="U4" s="42">
        <f t="shared" ref="U4" si="5">T4-S4</f>
        <v>9.2733979411785405E-4</v>
      </c>
    </row>
    <row r="5" spans="1:29" x14ac:dyDescent="0.35">
      <c r="A5" s="36" t="s">
        <v>129</v>
      </c>
      <c r="B5" s="9">
        <f>B35+B68+B101+B134+B155+B173+B181+B200</f>
        <v>4839</v>
      </c>
      <c r="C5" s="9">
        <f t="shared" ref="C5:I5" si="6">C35+C68+C101+C134+C155+C173+C181+C200</f>
        <v>5291</v>
      </c>
      <c r="D5" s="9">
        <f t="shared" si="6"/>
        <v>5651</v>
      </c>
      <c r="E5" s="9">
        <f>E35+E68+E101+E134+E155+E173+E181+E200</f>
        <v>5126</v>
      </c>
      <c r="F5" s="9">
        <f t="shared" si="6"/>
        <v>5555</v>
      </c>
      <c r="G5" s="9">
        <f t="shared" si="6"/>
        <v>3697</v>
      </c>
      <c r="H5" s="9">
        <f t="shared" si="6"/>
        <v>7667</v>
      </c>
      <c r="I5" s="9">
        <f t="shared" si="6"/>
        <v>7573</v>
      </c>
      <c r="J5" s="9">
        <f>J35+J68+J101+J134+J155+J173+J181+J200</f>
        <v>7209.7257261539871</v>
      </c>
      <c r="K5" s="9">
        <f>K35+K68+K101+K134+K155+K173+K181+K200</f>
        <v>8617.7447533920422</v>
      </c>
      <c r="L5" s="9">
        <f>L35+L68+L101+L134+L155+L173+L181+L200</f>
        <v>10204.207379391173</v>
      </c>
      <c r="M5" s="9">
        <f>M35+M68+M101+M134+M155+M173+M181+M200</f>
        <v>11994.722858289451</v>
      </c>
      <c r="N5" s="9">
        <f>N35+N68+N101+N134+N155+N173+N181+N200</f>
        <v>14018.891654139383</v>
      </c>
      <c r="P5" s="83"/>
      <c r="R5" s="36" t="s">
        <v>133</v>
      </c>
      <c r="S5" s="9">
        <f>S17+S29+S41+S53+S59+S65+S71</f>
        <v>6159.3379165765109</v>
      </c>
      <c r="T5" s="9">
        <f>T17+T29+T41+T53+T59+T65+T71</f>
        <v>6195</v>
      </c>
      <c r="U5" s="9">
        <f>T5-S5</f>
        <v>35.662083423489094</v>
      </c>
    </row>
    <row r="6" spans="1:29" x14ac:dyDescent="0.35">
      <c r="A6" s="37" t="s">
        <v>128</v>
      </c>
      <c r="B6" s="42" t="str">
        <f t="shared" ref="B6:H6" si="7">+IFERROR(B5/A5-1,"nm")</f>
        <v>nm</v>
      </c>
      <c r="C6" s="42">
        <f t="shared" si="7"/>
        <v>9.3407728869601137E-2</v>
      </c>
      <c r="D6" s="42">
        <f t="shared" si="7"/>
        <v>6.8040068040068125E-2</v>
      </c>
      <c r="E6" s="42">
        <f t="shared" si="7"/>
        <v>-9.2903910812245583E-2</v>
      </c>
      <c r="F6" s="42">
        <f t="shared" si="7"/>
        <v>8.3690987124463545E-2</v>
      </c>
      <c r="G6" s="42">
        <f t="shared" si="7"/>
        <v>-0.3344734473447345</v>
      </c>
      <c r="H6" s="42">
        <f t="shared" si="7"/>
        <v>1.0738436570192049</v>
      </c>
      <c r="I6" s="42">
        <f>+IFERROR(I5/H5-1,"nm")</f>
        <v>-1.2260336507108338E-2</v>
      </c>
      <c r="J6" s="42">
        <f t="shared" ref="J6:N6" si="8">+IFERROR(J5/I5-1,"nm")</f>
        <v>-4.7969665105772163E-2</v>
      </c>
      <c r="K6" s="42">
        <f>+IFERROR(K5/J5-1,"nm")</f>
        <v>0.19529439547614524</v>
      </c>
      <c r="L6" s="42">
        <f t="shared" si="8"/>
        <v>0.18409255221613297</v>
      </c>
      <c r="M6" s="42">
        <f t="shared" si="8"/>
        <v>0.17546835460385446</v>
      </c>
      <c r="N6" s="42">
        <f t="shared" si="8"/>
        <v>0.16875494496740662</v>
      </c>
      <c r="P6" s="83"/>
      <c r="R6" s="37" t="s">
        <v>128</v>
      </c>
      <c r="S6" s="42">
        <f>J12</f>
        <v>-0.10161348941416137</v>
      </c>
      <c r="T6" s="42">
        <f>+IFERROR(T5/I11-1,"nm")</f>
        <v>-9.6411901983663895E-2</v>
      </c>
      <c r="U6" s="42">
        <f>T6-S6</f>
        <v>5.2015874304974785E-3</v>
      </c>
    </row>
    <row r="7" spans="1:29" x14ac:dyDescent="0.35">
      <c r="A7" s="37" t="s">
        <v>130</v>
      </c>
      <c r="B7" s="42">
        <f t="shared" ref="B7:N7" si="9">+IFERROR(B5/B$3,"nm")</f>
        <v>0.15813208718669325</v>
      </c>
      <c r="C7" s="42">
        <f t="shared" si="9"/>
        <v>0.16342352359772672</v>
      </c>
      <c r="D7" s="42">
        <f t="shared" si="9"/>
        <v>0.16451237263464338</v>
      </c>
      <c r="E7" s="42">
        <f t="shared" si="9"/>
        <v>0.14083578316894249</v>
      </c>
      <c r="F7" s="42">
        <f t="shared" si="9"/>
        <v>0.14200986783240024</v>
      </c>
      <c r="G7" s="42">
        <f t="shared" si="9"/>
        <v>9.8842338849824879E-2</v>
      </c>
      <c r="H7" s="42">
        <f t="shared" si="9"/>
        <v>0.17214513449189456</v>
      </c>
      <c r="I7" s="42">
        <f t="shared" si="9"/>
        <v>0.16212802397773496</v>
      </c>
      <c r="J7" s="42">
        <f t="shared" si="9"/>
        <v>0.14088736961053497</v>
      </c>
      <c r="K7" s="42">
        <f t="shared" si="9"/>
        <v>0.15341415582801693</v>
      </c>
      <c r="L7" s="42">
        <f t="shared" si="9"/>
        <v>0.16516636786737801</v>
      </c>
      <c r="M7" s="42">
        <f t="shared" si="9"/>
        <v>0.17617843601864311</v>
      </c>
      <c r="N7" s="42">
        <f t="shared" si="9"/>
        <v>0.18648532169895393</v>
      </c>
      <c r="P7" s="83"/>
      <c r="R7" s="37" t="s">
        <v>130</v>
      </c>
      <c r="S7" s="42">
        <f t="shared" ref="S7" si="10">J13</f>
        <v>0.12036143267710805</v>
      </c>
      <c r="T7" s="42">
        <f>+IFERROR(T5/T$3,"nm")</f>
        <v>0.12095593260050373</v>
      </c>
      <c r="U7" s="42">
        <f>T7-S7</f>
        <v>5.944999233956777E-4</v>
      </c>
    </row>
    <row r="8" spans="1:29" x14ac:dyDescent="0.35">
      <c r="A8" s="36" t="s">
        <v>131</v>
      </c>
      <c r="B8" s="9">
        <f>B38+B71+B104+B137+B158+B174+B184+B203</f>
        <v>606</v>
      </c>
      <c r="C8" s="9">
        <f t="shared" ref="C8:I8" si="11">C38+C71+C104+C137+C158+C174+C184+C203</f>
        <v>649</v>
      </c>
      <c r="D8" s="9">
        <f t="shared" si="11"/>
        <v>706</v>
      </c>
      <c r="E8" s="9">
        <f t="shared" si="11"/>
        <v>747</v>
      </c>
      <c r="F8" s="9">
        <f t="shared" si="11"/>
        <v>705</v>
      </c>
      <c r="G8" s="9">
        <f t="shared" si="11"/>
        <v>721</v>
      </c>
      <c r="H8" s="9">
        <f t="shared" si="11"/>
        <v>744</v>
      </c>
      <c r="I8" s="9">
        <f t="shared" si="11"/>
        <v>717</v>
      </c>
      <c r="J8" s="9">
        <f>J38+J71+J104+J137+J158+J174+J184+J203</f>
        <v>1050.3878095774774</v>
      </c>
      <c r="K8" s="9">
        <f>K38+K71+K104+K137+K158+K174+K184+K203</f>
        <v>1102.665701636814</v>
      </c>
      <c r="L8" s="9">
        <f>L38+L71+L104+L137+L158+L174+L184+L203</f>
        <v>1161.4016519611894</v>
      </c>
      <c r="M8" s="9">
        <f>M38+M71+M104+M137+M158+M174+M184+M203</f>
        <v>1227.4964782029654</v>
      </c>
      <c r="N8" s="9">
        <f>N38+N71+N104+N137+N158+N174+N184+N203</f>
        <v>1301.9876509606818</v>
      </c>
      <c r="P8" s="83"/>
      <c r="R8" s="38" t="s">
        <v>99</v>
      </c>
      <c r="S8" s="34"/>
      <c r="T8" s="34"/>
      <c r="U8" s="34"/>
    </row>
    <row r="9" spans="1:29" x14ac:dyDescent="0.35">
      <c r="A9" s="37" t="s">
        <v>128</v>
      </c>
      <c r="B9" s="42" t="str">
        <f t="shared" ref="B9:N9" si="12">+IFERROR(B8/A8-1,"nm")</f>
        <v>nm</v>
      </c>
      <c r="C9" s="42">
        <f t="shared" si="12"/>
        <v>7.0957095709570872E-2</v>
      </c>
      <c r="D9" s="42">
        <f t="shared" si="12"/>
        <v>8.7827426810477727E-2</v>
      </c>
      <c r="E9" s="42">
        <f t="shared" si="12"/>
        <v>5.8073654390934815E-2</v>
      </c>
      <c r="F9" s="42">
        <f t="shared" si="12"/>
        <v>-5.6224899598393607E-2</v>
      </c>
      <c r="G9" s="42">
        <f t="shared" si="12"/>
        <v>2.2695035460992941E-2</v>
      </c>
      <c r="H9" s="42">
        <f t="shared" si="12"/>
        <v>3.1900138696255187E-2</v>
      </c>
      <c r="I9" s="42">
        <f t="shared" si="12"/>
        <v>-3.6290322580645129E-2</v>
      </c>
      <c r="J9" s="42">
        <f t="shared" si="12"/>
        <v>0.46497602451531006</v>
      </c>
      <c r="K9" s="42">
        <f>+IFERROR(K8/J8-1,"nm")</f>
        <v>4.9770086422047832E-2</v>
      </c>
      <c r="L9" s="42">
        <f t="shared" si="12"/>
        <v>5.3267232523136254E-2</v>
      </c>
      <c r="M9" s="42">
        <f t="shared" si="12"/>
        <v>5.6909533519403643E-2</v>
      </c>
      <c r="N9" s="42">
        <f t="shared" si="12"/>
        <v>6.0685447233844725E-2</v>
      </c>
      <c r="P9" s="83"/>
      <c r="R9" s="9" t="s">
        <v>135</v>
      </c>
      <c r="S9" s="9">
        <f>S11+S13+S15</f>
        <v>19461.588333333337</v>
      </c>
      <c r="T9" s="9">
        <f>T11+T13+T15</f>
        <v>21608</v>
      </c>
      <c r="U9" s="9">
        <f t="shared" ref="U9:U19" si="13">T9-S9</f>
        <v>2146.4116666666632</v>
      </c>
    </row>
    <row r="10" spans="1:29" x14ac:dyDescent="0.35">
      <c r="A10" s="37" t="s">
        <v>132</v>
      </c>
      <c r="B10" s="42">
        <f t="shared" ref="B10:N10" si="14">+IFERROR(B8/B$3,"nm")</f>
        <v>1.9803274402797295E-2</v>
      </c>
      <c r="C10" s="42">
        <f t="shared" si="14"/>
        <v>2.0045712873733631E-2</v>
      </c>
      <c r="D10" s="42">
        <f t="shared" si="14"/>
        <v>2.0553129548762736E-2</v>
      </c>
      <c r="E10" s="42">
        <f t="shared" si="14"/>
        <v>2.0523669533203285E-2</v>
      </c>
      <c r="F10" s="42">
        <f t="shared" si="14"/>
        <v>1.8022854513382928E-2</v>
      </c>
      <c r="G10" s="42">
        <f t="shared" si="14"/>
        <v>1.9276528620698875E-2</v>
      </c>
      <c r="H10" s="42">
        <f t="shared" si="14"/>
        <v>1.6704836319547355E-2</v>
      </c>
      <c r="I10" s="42">
        <f t="shared" si="14"/>
        <v>1.5350032113037893E-2</v>
      </c>
      <c r="J10" s="42">
        <f t="shared" si="14"/>
        <v>2.052593693342691E-2</v>
      </c>
      <c r="K10" s="42">
        <f t="shared" si="14"/>
        <v>1.9629790927671038E-2</v>
      </c>
      <c r="L10" s="42">
        <f t="shared" si="14"/>
        <v>1.8798568605830061E-2</v>
      </c>
      <c r="M10" s="42">
        <f t="shared" si="14"/>
        <v>1.8029462814869165E-2</v>
      </c>
      <c r="N10" s="42">
        <f t="shared" si="14"/>
        <v>1.7319599289846544E-2</v>
      </c>
      <c r="P10" s="83"/>
      <c r="R10" s="39" t="s">
        <v>128</v>
      </c>
      <c r="S10" s="42">
        <f>J22</f>
        <v>6.0403657894259055E-2</v>
      </c>
      <c r="T10" s="42">
        <f>+IFERROR(T9/I21-1,"nm")</f>
        <v>0.17735520078461287</v>
      </c>
      <c r="U10" s="42">
        <f t="shared" si="13"/>
        <v>0.11695154289035381</v>
      </c>
    </row>
    <row r="11" spans="1:29" x14ac:dyDescent="0.35">
      <c r="A11" s="36" t="s">
        <v>133</v>
      </c>
      <c r="B11" s="9">
        <f>B5-B8</f>
        <v>4233</v>
      </c>
      <c r="C11" s="9">
        <f t="shared" ref="C11:N11" si="15">C5-C8</f>
        <v>4642</v>
      </c>
      <c r="D11" s="9">
        <f t="shared" si="15"/>
        <v>4945</v>
      </c>
      <c r="E11" s="9">
        <f t="shared" si="15"/>
        <v>4379</v>
      </c>
      <c r="F11" s="9">
        <f t="shared" si="15"/>
        <v>4850</v>
      </c>
      <c r="G11" s="9">
        <f t="shared" si="15"/>
        <v>2976</v>
      </c>
      <c r="H11" s="9">
        <f t="shared" si="15"/>
        <v>6923</v>
      </c>
      <c r="I11" s="9">
        <f t="shared" si="15"/>
        <v>6856</v>
      </c>
      <c r="J11" s="9">
        <f>J5-J8</f>
        <v>6159.33791657651</v>
      </c>
      <c r="K11" s="9">
        <f t="shared" si="15"/>
        <v>7515.0790517552286</v>
      </c>
      <c r="L11" s="9">
        <f t="shared" si="15"/>
        <v>9042.8057274299845</v>
      </c>
      <c r="M11" s="9">
        <f t="shared" si="15"/>
        <v>10767.226380086486</v>
      </c>
      <c r="N11" s="9">
        <f t="shared" si="15"/>
        <v>12716.904003178701</v>
      </c>
      <c r="P11" s="83"/>
      <c r="R11" s="40" t="s">
        <v>112</v>
      </c>
      <c r="S11" s="3">
        <f>J23</f>
        <v>12982.060000000001</v>
      </c>
      <c r="T11" s="3">
        <v>14897</v>
      </c>
      <c r="U11" s="3">
        <f t="shared" si="13"/>
        <v>1914.9399999999987</v>
      </c>
    </row>
    <row r="12" spans="1:29" x14ac:dyDescent="0.35">
      <c r="A12" s="37" t="s">
        <v>128</v>
      </c>
      <c r="B12" s="42" t="str">
        <f t="shared" ref="B12:H12" si="16">+IFERROR(B11/A11-1,"nm")</f>
        <v>nm</v>
      </c>
      <c r="C12" s="42">
        <f t="shared" si="16"/>
        <v>9.6621781242617555E-2</v>
      </c>
      <c r="D12" s="42">
        <f t="shared" si="16"/>
        <v>6.5273588970271357E-2</v>
      </c>
      <c r="E12" s="42">
        <f t="shared" si="16"/>
        <v>-0.11445904954499497</v>
      </c>
      <c r="F12" s="42">
        <f t="shared" si="16"/>
        <v>0.10755880337976698</v>
      </c>
      <c r="G12" s="42">
        <f t="shared" si="16"/>
        <v>-0.38639175257731961</v>
      </c>
      <c r="H12" s="42">
        <f t="shared" si="16"/>
        <v>1.32627688172043</v>
      </c>
      <c r="I12" s="42">
        <f>+IFERROR(I11/H11-1,"nm")</f>
        <v>-9.67788530983682E-3</v>
      </c>
      <c r="J12" s="42">
        <f t="shared" ref="J12:N12" si="17">+IFERROR(J11/I11-1,"nm")</f>
        <v>-0.10161348941416137</v>
      </c>
      <c r="K12" s="42">
        <f>+IFERROR(K11/J11-1,"nm")</f>
        <v>0.2201115044410924</v>
      </c>
      <c r="L12" s="42">
        <f t="shared" si="17"/>
        <v>0.20328817104298302</v>
      </c>
      <c r="M12" s="42">
        <f t="shared" si="17"/>
        <v>0.19069531123794148</v>
      </c>
      <c r="N12" s="42">
        <f t="shared" si="17"/>
        <v>0.18107519562308627</v>
      </c>
      <c r="R12" s="39" t="s">
        <v>128</v>
      </c>
      <c r="S12" s="42">
        <f>J24</f>
        <v>6.1666666666666668E-2</v>
      </c>
      <c r="T12" s="42">
        <f>+IFERROR(T11/I23-1,"nm")</f>
        <v>0.21826954530585541</v>
      </c>
      <c r="U12" s="42">
        <f t="shared" si="13"/>
        <v>0.15660287863918873</v>
      </c>
    </row>
    <row r="13" spans="1:29" x14ac:dyDescent="0.35">
      <c r="A13" s="37" t="s">
        <v>130</v>
      </c>
      <c r="B13" s="42">
        <f t="shared" ref="B13:N13" si="18">+IFERROR(B11/B$3,"nm")</f>
        <v>0.13832881278389594</v>
      </c>
      <c r="C13" s="42">
        <f t="shared" si="18"/>
        <v>0.14337781072399308</v>
      </c>
      <c r="D13" s="42">
        <f t="shared" si="18"/>
        <v>0.14395924308588065</v>
      </c>
      <c r="E13" s="42">
        <f t="shared" si="18"/>
        <v>0.12031211363573921</v>
      </c>
      <c r="F13" s="42">
        <f t="shared" si="18"/>
        <v>0.12398701331901731</v>
      </c>
      <c r="G13" s="42">
        <f t="shared" si="18"/>
        <v>7.9565810229126011E-2</v>
      </c>
      <c r="H13" s="42">
        <f t="shared" si="18"/>
        <v>0.1554402981723472</v>
      </c>
      <c r="I13" s="42">
        <f t="shared" si="18"/>
        <v>0.14677799186469706</v>
      </c>
      <c r="J13" s="42">
        <f t="shared" si="18"/>
        <v>0.12036143267710805</v>
      </c>
      <c r="K13" s="42">
        <f t="shared" si="18"/>
        <v>0.1337843649003459</v>
      </c>
      <c r="L13" s="42">
        <f t="shared" si="18"/>
        <v>0.14636779926154797</v>
      </c>
      <c r="M13" s="42">
        <f t="shared" si="18"/>
        <v>0.15814897320377391</v>
      </c>
      <c r="N13" s="42">
        <f t="shared" si="18"/>
        <v>0.16916572240910738</v>
      </c>
      <c r="P13" s="75" t="s">
        <v>207</v>
      </c>
      <c r="R13" s="40" t="s">
        <v>113</v>
      </c>
      <c r="S13" s="3">
        <f>J27</f>
        <v>5858.1333333333332</v>
      </c>
      <c r="T13" s="3">
        <v>5947</v>
      </c>
      <c r="U13" s="3">
        <f t="shared" si="13"/>
        <v>88.866666666666788</v>
      </c>
    </row>
    <row r="14" spans="1:29" x14ac:dyDescent="0.35">
      <c r="A14" s="36" t="s">
        <v>134</v>
      </c>
      <c r="B14" s="43">
        <f>B45+B78+B111+B144+B165+B176+B191+B210</f>
        <v>963</v>
      </c>
      <c r="C14" s="43">
        <f t="shared" ref="C14:I14" si="19">C45+C78+C111+C144+C165+C176+C191+C210</f>
        <v>1143</v>
      </c>
      <c r="D14" s="43">
        <f t="shared" si="19"/>
        <v>1105</v>
      </c>
      <c r="E14" s="43">
        <f t="shared" si="19"/>
        <v>1028</v>
      </c>
      <c r="F14" s="43">
        <f t="shared" si="19"/>
        <v>1119</v>
      </c>
      <c r="G14" s="43">
        <f t="shared" si="19"/>
        <v>1086</v>
      </c>
      <c r="H14" s="43">
        <f t="shared" si="19"/>
        <v>695</v>
      </c>
      <c r="I14" s="43">
        <f t="shared" si="19"/>
        <v>758</v>
      </c>
      <c r="J14" s="43">
        <f>J45+J78+J111+J144+J165+J176+J191+J210</f>
        <v>1709.0437068999522</v>
      </c>
      <c r="K14" s="43">
        <f>K45+K78+K111+K144+K165+K176+K191+K210</f>
        <v>1783.7597578810214</v>
      </c>
      <c r="L14" s="43">
        <f>L45+L78+L111+L144+L165+L176+L191+L210</f>
        <v>1867.5154765268994</v>
      </c>
      <c r="M14" s="43">
        <f>M45+M78+M111+M144+M165+M176+M191+M210</f>
        <v>1961.5448273814882</v>
      </c>
      <c r="N14" s="43">
        <f>N45+N78+N111+N144+N165+N176+N191+N210</f>
        <v>2067.265509619584</v>
      </c>
      <c r="P14" s="76" t="s">
        <v>206</v>
      </c>
      <c r="R14" s="39" t="s">
        <v>128</v>
      </c>
      <c r="S14" s="42">
        <f>J28</f>
        <v>6.6666666666666666E-2</v>
      </c>
      <c r="T14" s="42">
        <f>+IFERROR(T13/I27-1,"nm")</f>
        <v>8.2847778587035625E-2</v>
      </c>
      <c r="U14" s="42">
        <f t="shared" si="13"/>
        <v>1.618111192036896E-2</v>
      </c>
    </row>
    <row r="15" spans="1:29" x14ac:dyDescent="0.35">
      <c r="A15" s="37" t="s">
        <v>128</v>
      </c>
      <c r="B15" s="42" t="str">
        <f t="shared" ref="B15:H15" si="20">+IFERROR(B14/A14-1,"nm")</f>
        <v>nm</v>
      </c>
      <c r="C15" s="42">
        <f t="shared" si="20"/>
        <v>0.18691588785046731</v>
      </c>
      <c r="D15" s="42">
        <f t="shared" si="20"/>
        <v>-3.3245844269466307E-2</v>
      </c>
      <c r="E15" s="42">
        <f t="shared" si="20"/>
        <v>-6.9683257918552011E-2</v>
      </c>
      <c r="F15" s="42">
        <f t="shared" si="20"/>
        <v>8.8521400778210024E-2</v>
      </c>
      <c r="G15" s="42">
        <f t="shared" si="20"/>
        <v>-2.9490616621983934E-2</v>
      </c>
      <c r="H15" s="42">
        <f t="shared" si="20"/>
        <v>-0.36003683241252304</v>
      </c>
      <c r="I15" s="42">
        <f>+IFERROR(I14/H14-1,"nm")</f>
        <v>9.0647482014388547E-2</v>
      </c>
      <c r="J15" s="42">
        <f t="shared" ref="J15:N15" si="21">+IFERROR(J14/I14-1,"nm")</f>
        <v>1.2546750750658999</v>
      </c>
      <c r="K15" s="42">
        <f>+IFERROR(K14/J14-1,"nm")</f>
        <v>4.3718045758231128E-2</v>
      </c>
      <c r="L15" s="42">
        <f t="shared" si="21"/>
        <v>4.6954595917879649E-2</v>
      </c>
      <c r="M15" s="42">
        <f t="shared" si="21"/>
        <v>5.0349971411995709E-2</v>
      </c>
      <c r="N15" s="42">
        <f t="shared" si="21"/>
        <v>5.3896643483404283E-2</v>
      </c>
      <c r="P15" s="76" t="s">
        <v>208</v>
      </c>
      <c r="R15" s="40" t="s">
        <v>114</v>
      </c>
      <c r="S15" s="3">
        <f>J31</f>
        <v>621.39499999999998</v>
      </c>
      <c r="T15" s="3">
        <v>764</v>
      </c>
      <c r="U15" s="3">
        <f t="shared" si="13"/>
        <v>142.60500000000002</v>
      </c>
    </row>
    <row r="16" spans="1:29" x14ac:dyDescent="0.35">
      <c r="A16" s="37" t="s">
        <v>132</v>
      </c>
      <c r="B16" s="42">
        <f t="shared" ref="B16:N16" si="22">+IFERROR(B14/B$3,"nm")</f>
        <v>3.146955981830659E-2</v>
      </c>
      <c r="C16" s="42">
        <f t="shared" si="22"/>
        <v>3.5303928836174947E-2</v>
      </c>
      <c r="D16" s="42">
        <f t="shared" si="22"/>
        <v>3.2168850072780204E-2</v>
      </c>
      <c r="E16" s="42">
        <f t="shared" si="22"/>
        <v>2.8244086051048164E-2</v>
      </c>
      <c r="F16" s="42">
        <f t="shared" si="22"/>
        <v>2.8606488227624818E-2</v>
      </c>
      <c r="G16" s="42">
        <f t="shared" si="22"/>
        <v>2.9035104136031869E-2</v>
      </c>
      <c r="H16" s="42">
        <f t="shared" si="22"/>
        <v>1.5604652207104046E-2</v>
      </c>
      <c r="I16" s="42">
        <f t="shared" si="22"/>
        <v>1.6227788482123744E-2</v>
      </c>
      <c r="J16" s="42">
        <f t="shared" si="22"/>
        <v>3.339692542548596E-2</v>
      </c>
      <c r="K16" s="42">
        <f t="shared" si="22"/>
        <v>3.1754711387522991E-2</v>
      </c>
      <c r="L16" s="42">
        <f t="shared" si="22"/>
        <v>3.0227800820377595E-2</v>
      </c>
      <c r="M16" s="42">
        <f t="shared" si="22"/>
        <v>2.8811161704307416E-2</v>
      </c>
      <c r="N16" s="42">
        <f t="shared" si="22"/>
        <v>2.7499654260094694E-2</v>
      </c>
      <c r="P16" s="76" t="s">
        <v>209</v>
      </c>
      <c r="R16" s="39" t="s">
        <v>128</v>
      </c>
      <c r="S16" s="42">
        <f>J32</f>
        <v>-1.833333333333334E-2</v>
      </c>
      <c r="T16" s="42">
        <f>+IFERROR(T15/I31-1,"nm")</f>
        <v>0.20695102685624023</v>
      </c>
      <c r="U16" s="42">
        <f t="shared" si="13"/>
        <v>0.22528436018957357</v>
      </c>
    </row>
    <row r="17" spans="1:21" x14ac:dyDescent="0.35">
      <c r="A17" s="9" t="s">
        <v>140</v>
      </c>
      <c r="B17" s="43">
        <f>B48+B81+B114+B147+B168+B177+B194+B213</f>
        <v>3011</v>
      </c>
      <c r="C17" s="43">
        <f t="shared" ref="C17:I17" si="23">C48+C81+C114+C147+C168+C177+C194+C213</f>
        <v>3520</v>
      </c>
      <c r="D17" s="43">
        <f t="shared" si="23"/>
        <v>3989</v>
      </c>
      <c r="E17" s="43">
        <f t="shared" si="23"/>
        <v>4454</v>
      </c>
      <c r="F17" s="43">
        <f t="shared" si="23"/>
        <v>4744</v>
      </c>
      <c r="G17" s="43">
        <f t="shared" si="23"/>
        <v>4866</v>
      </c>
      <c r="H17" s="43">
        <f t="shared" si="23"/>
        <v>4904</v>
      </c>
      <c r="I17" s="43">
        <f t="shared" si="23"/>
        <v>4791</v>
      </c>
      <c r="J17" s="43">
        <f>J48+J81+J114+J147+J168+J177+J194+J213</f>
        <v>6511.9501682460741</v>
      </c>
      <c r="K17" s="43">
        <f>K48+K81+K114+K147+K168+K177+K194+K213</f>
        <v>6829.1301061441618</v>
      </c>
      <c r="L17" s="43">
        <f>L48+L81+L114+L147+L168+L177+L194+L213</f>
        <v>7185.0703299921161</v>
      </c>
      <c r="M17" s="43">
        <f>M48+M81+M114+M147+M168+M177+M194+M213</f>
        <v>7585.073014650312</v>
      </c>
      <c r="N17" s="43">
        <f>N48+N81+N114+N147+N168+N177+N194+N213</f>
        <v>8035.2272287115957</v>
      </c>
      <c r="P17" s="76" t="s">
        <v>210</v>
      </c>
      <c r="R17" s="9" t="s">
        <v>133</v>
      </c>
      <c r="S17" s="9">
        <f>J42</f>
        <v>5003.0633462544074</v>
      </c>
      <c r="T17" s="9">
        <v>5454</v>
      </c>
      <c r="U17" s="9">
        <f t="shared" si="13"/>
        <v>450.93665374559259</v>
      </c>
    </row>
    <row r="18" spans="1:21" x14ac:dyDescent="0.35">
      <c r="A18" s="37" t="s">
        <v>128</v>
      </c>
      <c r="B18" s="42" t="str">
        <f t="shared" ref="B18:H18" si="24">+IFERROR(B17/A17-1,"nm")</f>
        <v>nm</v>
      </c>
      <c r="C18" s="42">
        <f t="shared" si="24"/>
        <v>0.16904682829624718</v>
      </c>
      <c r="D18" s="42">
        <f t="shared" si="24"/>
        <v>0.13323863636363642</v>
      </c>
      <c r="E18" s="42">
        <f t="shared" si="24"/>
        <v>0.11657056906492858</v>
      </c>
      <c r="F18" s="42">
        <f t="shared" si="24"/>
        <v>6.5110013471037176E-2</v>
      </c>
      <c r="G18" s="42">
        <f t="shared" si="24"/>
        <v>2.5716694772343951E-2</v>
      </c>
      <c r="H18" s="42">
        <f t="shared" si="24"/>
        <v>7.8092889436909285E-3</v>
      </c>
      <c r="I18" s="42">
        <f>+IFERROR(I17/H17-1,"nm")</f>
        <v>-2.3042414355628038E-2</v>
      </c>
      <c r="J18" s="42">
        <f t="shared" ref="J18:N18" si="25">+IFERROR(J17/I17-1,"nm")</f>
        <v>0.35920479404009065</v>
      </c>
      <c r="K18" s="42">
        <f>+IFERROR(K17/J17-1,"nm")</f>
        <v>4.8707365643664957E-2</v>
      </c>
      <c r="L18" s="42">
        <f t="shared" si="25"/>
        <v>5.2120873129612111E-2</v>
      </c>
      <c r="M18" s="42">
        <f t="shared" si="25"/>
        <v>5.5671366637636721E-2</v>
      </c>
      <c r="N18" s="42">
        <f t="shared" si="25"/>
        <v>5.9347380465794686E-2</v>
      </c>
      <c r="R18" s="41" t="s">
        <v>128</v>
      </c>
      <c r="S18" s="42">
        <f>J39</f>
        <v>0.41542383757991486</v>
      </c>
      <c r="T18" s="42">
        <f>+IFERROR(T17/I42-1,"nm")</f>
        <v>6.648416112631983E-2</v>
      </c>
      <c r="U18" s="42">
        <f t="shared" si="13"/>
        <v>-0.34893967645359503</v>
      </c>
    </row>
    <row r="19" spans="1:21" x14ac:dyDescent="0.35">
      <c r="A19" s="37" t="s">
        <v>132</v>
      </c>
      <c r="B19" s="42">
        <f t="shared" ref="B19:N19" si="26">+IFERROR(B17/B$3,"nm")</f>
        <v>9.8395477271984569E-2</v>
      </c>
      <c r="C19" s="42">
        <f t="shared" si="26"/>
        <v>0.10872251050160613</v>
      </c>
      <c r="D19" s="42">
        <f t="shared" si="26"/>
        <v>0.11612809315866085</v>
      </c>
      <c r="E19" s="42">
        <f t="shared" si="26"/>
        <v>0.12237272302662307</v>
      </c>
      <c r="F19" s="42">
        <f t="shared" si="26"/>
        <v>0.1212771940588491</v>
      </c>
      <c r="G19" s="42">
        <f t="shared" si="26"/>
        <v>0.13009651632222013</v>
      </c>
      <c r="H19" s="42">
        <f t="shared" si="26"/>
        <v>0.11010822219228523</v>
      </c>
      <c r="I19" s="42">
        <f t="shared" si="26"/>
        <v>0.10256904303147078</v>
      </c>
      <c r="J19" s="42">
        <f t="shared" si="26"/>
        <v>0.12725193233231114</v>
      </c>
      <c r="K19" s="42">
        <f t="shared" si="26"/>
        <v>0.12157301710072364</v>
      </c>
      <c r="L19" s="42">
        <f t="shared" si="26"/>
        <v>0.11629829982417179</v>
      </c>
      <c r="M19" s="42">
        <f t="shared" si="26"/>
        <v>0.11140951871887415</v>
      </c>
      <c r="N19" s="42">
        <f t="shared" si="26"/>
        <v>0.10688804590539976</v>
      </c>
      <c r="R19" s="41" t="s">
        <v>130</v>
      </c>
      <c r="S19" s="42">
        <v>0.27864654279954226</v>
      </c>
      <c r="T19" s="42">
        <f>+IFERROR(T17/T$9,"nm")</f>
        <v>0.25240651610514625</v>
      </c>
      <c r="U19" s="42">
        <f t="shared" si="13"/>
        <v>-2.6240026694396013E-2</v>
      </c>
    </row>
    <row r="20" spans="1:21" x14ac:dyDescent="0.35">
      <c r="A20" s="38" t="str">
        <f>+Historicals!A109</f>
        <v>North America</v>
      </c>
      <c r="B20" s="38"/>
      <c r="C20" s="38"/>
      <c r="D20" s="38"/>
      <c r="E20" s="38"/>
      <c r="F20" s="38"/>
      <c r="G20" s="38"/>
      <c r="H20" s="38"/>
      <c r="I20" s="38"/>
      <c r="J20" s="34"/>
      <c r="K20" s="34"/>
      <c r="L20" s="34"/>
      <c r="M20" s="34"/>
      <c r="N20" s="34"/>
      <c r="P20" s="83" t="s">
        <v>227</v>
      </c>
      <c r="R20" s="38" t="s">
        <v>100</v>
      </c>
      <c r="S20" s="34"/>
      <c r="T20" s="34"/>
      <c r="U20" s="34"/>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3"/>
      <c r="R21" s="9" t="s">
        <v>135</v>
      </c>
      <c r="S21" s="9">
        <f>S23+S25+S27</f>
        <v>13831.214999999998</v>
      </c>
      <c r="T21" s="9">
        <f>T23+T25+T27</f>
        <v>13418</v>
      </c>
      <c r="U21" s="9">
        <f t="shared" ref="U21:U55" si="28">T21-S21</f>
        <v>-413.21499999999833</v>
      </c>
    </row>
    <row r="22" spans="1:21" x14ac:dyDescent="0.35">
      <c r="A22" s="39" t="s">
        <v>128</v>
      </c>
      <c r="B22" s="42" t="str">
        <f t="shared" ref="B22:H22" si="29">+IFERROR(B21/A21-1,"nm")</f>
        <v>nm</v>
      </c>
      <c r="C22" s="42">
        <f t="shared" si="29"/>
        <v>7.4526928675400228E-2</v>
      </c>
      <c r="D22" s="42">
        <f t="shared" si="29"/>
        <v>3.0615009482525046E-2</v>
      </c>
      <c r="E22" s="42">
        <f t="shared" si="29"/>
        <v>-2.372502628811779E-2</v>
      </c>
      <c r="F22" s="42">
        <f t="shared" si="29"/>
        <v>7.0481319421070276E-2</v>
      </c>
      <c r="G22" s="42">
        <f t="shared" si="29"/>
        <v>-8.9171173437303519E-2</v>
      </c>
      <c r="H22" s="42">
        <f t="shared" si="29"/>
        <v>0.18606738470035911</v>
      </c>
      <c r="I22" s="42">
        <f>+IFERROR(I21/H21-1,"nm")</f>
        <v>6.8339251411607238E-2</v>
      </c>
      <c r="J22" s="42">
        <f>+IFERROR(J21/I21-1,"nm")</f>
        <v>6.0403657894259055E-2</v>
      </c>
      <c r="K22" s="42">
        <f>+IFERROR(K21/J21-1,"nm")</f>
        <v>6.0617372385872725E-2</v>
      </c>
      <c r="L22" s="42">
        <f t="shared" ref="L22:N22" si="30">+IFERROR(L21/K21-1,"nm")</f>
        <v>6.0816097951945869E-2</v>
      </c>
      <c r="M22" s="42">
        <f t="shared" si="30"/>
        <v>6.1000843400589089E-2</v>
      </c>
      <c r="N22" s="42">
        <f t="shared" si="30"/>
        <v>6.1172559598546838E-2</v>
      </c>
      <c r="P22" s="83"/>
      <c r="R22" s="39" t="s">
        <v>128</v>
      </c>
      <c r="S22" s="42">
        <f>J53</f>
        <v>0.10835924352912873</v>
      </c>
      <c r="T22" s="42">
        <f>+IFERROR(T21/I52-1,"nm")</f>
        <v>7.524641397547871E-2</v>
      </c>
      <c r="U22" s="42">
        <f t="shared" si="28"/>
        <v>-3.3112829553650025E-2</v>
      </c>
    </row>
    <row r="23" spans="1:21" x14ac:dyDescent="0.35">
      <c r="A23" s="40"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1">+K23*(1+L24)</f>
        <v>14632.548622611115</v>
      </c>
      <c r="M23" s="3">
        <f t="shared" si="31"/>
        <v>15534.889121005468</v>
      </c>
      <c r="N23" s="3">
        <f t="shared" si="31"/>
        <v>16492.873950134141</v>
      </c>
      <c r="O23" s="1" t="s">
        <v>217</v>
      </c>
      <c r="P23" s="83"/>
      <c r="R23" s="40" t="s">
        <v>112</v>
      </c>
      <c r="S23" s="3">
        <f>J56</f>
        <v>8034.4499999999989</v>
      </c>
      <c r="T23" s="3">
        <v>8260</v>
      </c>
      <c r="U23" s="3">
        <f t="shared" si="28"/>
        <v>225.55000000000109</v>
      </c>
    </row>
    <row r="24" spans="1:21" x14ac:dyDescent="0.35">
      <c r="A24" s="39" t="s">
        <v>128</v>
      </c>
      <c r="B24" s="42" t="str">
        <f t="shared" ref="B24:H24" si="32">+IFERROR(B23/A23-1,"nm")</f>
        <v>nm</v>
      </c>
      <c r="C24" s="42">
        <f t="shared" si="32"/>
        <v>9.3228309428638578E-2</v>
      </c>
      <c r="D24" s="42">
        <f t="shared" si="32"/>
        <v>4.1402301322722934E-2</v>
      </c>
      <c r="E24" s="42">
        <f t="shared" si="32"/>
        <v>-3.7381247418422192E-2</v>
      </c>
      <c r="F24" s="42">
        <f t="shared" si="32"/>
        <v>7.755846384895948E-2</v>
      </c>
      <c r="G24" s="42">
        <f t="shared" si="32"/>
        <v>-7.1279243404678949E-2</v>
      </c>
      <c r="H24" s="42">
        <f t="shared" si="32"/>
        <v>0.24815092721620746</v>
      </c>
      <c r="I24" s="42">
        <f>+IFERROR(I23/H23-1,"nm")</f>
        <v>5.0154586052902683E-2</v>
      </c>
      <c r="J24" s="42">
        <f>+J25+J26</f>
        <v>6.1666666666666668E-2</v>
      </c>
      <c r="K24" s="42">
        <f t="shared" ref="K24:N24" si="33">+K25+K26</f>
        <v>6.1666666666666668E-2</v>
      </c>
      <c r="L24" s="42">
        <f t="shared" si="33"/>
        <v>6.1666666666666668E-2</v>
      </c>
      <c r="M24" s="42">
        <f t="shared" si="33"/>
        <v>6.1666666666666668E-2</v>
      </c>
      <c r="N24" s="42">
        <f t="shared" si="33"/>
        <v>6.1666666666666668E-2</v>
      </c>
      <c r="P24" s="83"/>
      <c r="R24" s="39" t="s">
        <v>128</v>
      </c>
      <c r="S24" s="42">
        <f>J57</f>
        <v>8.7499999999999994E-2</v>
      </c>
      <c r="T24" s="42">
        <f>+IFERROR(T23/I56-1,"nm")</f>
        <v>0.11802923659989162</v>
      </c>
      <c r="U24" s="42">
        <f t="shared" si="28"/>
        <v>3.0529236599891624E-2</v>
      </c>
    </row>
    <row r="25" spans="1:21" x14ac:dyDescent="0.35">
      <c r="A25" s="39" t="s">
        <v>136</v>
      </c>
      <c r="B25" s="42">
        <f>+Historicals!B205</f>
        <v>0.14000000000000001</v>
      </c>
      <c r="C25" s="42">
        <f>+Historicals!C205</f>
        <v>0.1</v>
      </c>
      <c r="D25" s="42">
        <f>+Historicals!D205</f>
        <v>0.04</v>
      </c>
      <c r="E25" s="42">
        <f>+Historicals!E205</f>
        <v>-0.04</v>
      </c>
      <c r="F25" s="42">
        <f>+Historicals!F205</f>
        <v>0.08</v>
      </c>
      <c r="G25" s="42">
        <f>+Historicals!G205</f>
        <v>-7.0000000000000007E-2</v>
      </c>
      <c r="H25" s="42">
        <f>+Historicals!H205</f>
        <v>0.25</v>
      </c>
      <c r="I25" s="42">
        <f>+Historicals!I205</f>
        <v>0.05</v>
      </c>
      <c r="J25" s="44">
        <f>AVERAGE(B25,C25,D25,E25,F25,I25)</f>
        <v>6.1666666666666668E-2</v>
      </c>
      <c r="K25" s="44">
        <f>+J25</f>
        <v>6.1666666666666668E-2</v>
      </c>
      <c r="L25" s="44">
        <f t="shared" ref="L25:N25" si="34">+K25</f>
        <v>6.1666666666666668E-2</v>
      </c>
      <c r="M25" s="44">
        <f t="shared" si="34"/>
        <v>6.1666666666666668E-2</v>
      </c>
      <c r="N25" s="44">
        <f t="shared" si="34"/>
        <v>6.1666666666666668E-2</v>
      </c>
      <c r="P25" s="83"/>
      <c r="R25" s="40" t="s">
        <v>113</v>
      </c>
      <c r="S25" s="3">
        <f>J60</f>
        <v>5183.415</v>
      </c>
      <c r="T25" s="3">
        <v>4566</v>
      </c>
      <c r="U25" s="3">
        <f t="shared" si="28"/>
        <v>-617.41499999999996</v>
      </c>
    </row>
    <row r="26" spans="1:21" x14ac:dyDescent="0.35">
      <c r="A26" s="39" t="s">
        <v>137</v>
      </c>
      <c r="B26" s="42" t="str">
        <f t="shared" ref="B26:H26" si="35">+IFERROR(B24-B25,"nm")</f>
        <v>nm</v>
      </c>
      <c r="C26" s="42">
        <f t="shared" si="35"/>
        <v>-6.7716905713614273E-3</v>
      </c>
      <c r="D26" s="42">
        <f t="shared" si="35"/>
        <v>1.4023013227229333E-3</v>
      </c>
      <c r="E26" s="42">
        <f t="shared" si="35"/>
        <v>2.6187525815778087E-3</v>
      </c>
      <c r="F26" s="42">
        <f t="shared" si="35"/>
        <v>-2.4415361510405215E-3</v>
      </c>
      <c r="G26" s="42">
        <f t="shared" si="35"/>
        <v>-1.2792434046789425E-3</v>
      </c>
      <c r="H26" s="42">
        <f t="shared" si="35"/>
        <v>-1.849072783792538E-3</v>
      </c>
      <c r="I26" s="42">
        <f>+IFERROR(I24-I25,"nm")</f>
        <v>1.5458605290268046E-4</v>
      </c>
      <c r="J26" s="44">
        <v>0</v>
      </c>
      <c r="K26" s="44">
        <v>0</v>
      </c>
      <c r="L26" s="44">
        <v>0</v>
      </c>
      <c r="M26" s="44">
        <v>0</v>
      </c>
      <c r="N26" s="44">
        <v>0</v>
      </c>
      <c r="P26" s="83"/>
      <c r="R26" s="39" t="s">
        <v>128</v>
      </c>
      <c r="S26" s="42">
        <f>J61</f>
        <v>0.14500000000000002</v>
      </c>
      <c r="T26" s="42">
        <f>+IFERROR(T25/I60-1,"nm")</f>
        <v>8.6149768058316756E-3</v>
      </c>
      <c r="U26" s="42">
        <f t="shared" si="28"/>
        <v>-0.13638502319416834</v>
      </c>
    </row>
    <row r="27" spans="1:21" x14ac:dyDescent="0.35">
      <c r="A27" s="40"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6">+K27*(1+L28)</f>
        <v>6665.2539259259256</v>
      </c>
      <c r="M27" s="3">
        <f t="shared" si="36"/>
        <v>7109.6041876543204</v>
      </c>
      <c r="N27" s="3">
        <f t="shared" si="36"/>
        <v>7583.5778001646086</v>
      </c>
      <c r="O27" s="1" t="s">
        <v>217</v>
      </c>
      <c r="P27" s="83"/>
      <c r="R27" s="40" t="s">
        <v>114</v>
      </c>
      <c r="S27" s="3">
        <f>J64</f>
        <v>613.34999999999991</v>
      </c>
      <c r="T27" s="3">
        <v>592</v>
      </c>
      <c r="U27" s="3">
        <f t="shared" si="28"/>
        <v>-21.349999999999909</v>
      </c>
    </row>
    <row r="28" spans="1:21" x14ac:dyDescent="0.35">
      <c r="A28" s="39" t="s">
        <v>128</v>
      </c>
      <c r="B28" s="42" t="str">
        <f t="shared" ref="B28:H28" si="37">+IFERROR(B27/A27-1,"nm")</f>
        <v>nm</v>
      </c>
      <c r="C28" s="42">
        <f t="shared" si="37"/>
        <v>7.6190476190476142E-2</v>
      </c>
      <c r="D28" s="42">
        <f t="shared" si="37"/>
        <v>2.9498525073746285E-2</v>
      </c>
      <c r="E28" s="42">
        <f t="shared" si="37"/>
        <v>1.0642652476463343E-2</v>
      </c>
      <c r="F28" s="42">
        <f t="shared" si="37"/>
        <v>6.5208586472256025E-2</v>
      </c>
      <c r="G28" s="42">
        <f t="shared" si="37"/>
        <v>-0.11806083650190113</v>
      </c>
      <c r="H28" s="42">
        <f t="shared" si="37"/>
        <v>8.3854278939426541E-2</v>
      </c>
      <c r="I28" s="42">
        <f>+IFERROR(I27/H27-1,"nm")</f>
        <v>9.2283214001591007E-2</v>
      </c>
      <c r="J28" s="42">
        <f>+J29+J30</f>
        <v>6.6666666666666666E-2</v>
      </c>
      <c r="K28" s="42">
        <f t="shared" ref="K28:N28" si="38">+K29+K30</f>
        <v>6.6666666666666666E-2</v>
      </c>
      <c r="L28" s="42">
        <f t="shared" si="38"/>
        <v>6.6666666666666666E-2</v>
      </c>
      <c r="M28" s="42">
        <f t="shared" si="38"/>
        <v>6.6666666666666666E-2</v>
      </c>
      <c r="N28" s="42">
        <f t="shared" si="38"/>
        <v>6.6666666666666666E-2</v>
      </c>
      <c r="P28" s="83"/>
      <c r="R28" s="39" t="s">
        <v>128</v>
      </c>
      <c r="S28" s="42">
        <f>J65</f>
        <v>8.7499999999999994E-2</v>
      </c>
      <c r="T28" s="42">
        <f>+IFERROR(T27/I64-1,"nm")</f>
        <v>4.9645390070921946E-2</v>
      </c>
      <c r="U28" s="42">
        <f t="shared" si="28"/>
        <v>-3.7854609929078048E-2</v>
      </c>
    </row>
    <row r="29" spans="1:21" x14ac:dyDescent="0.35">
      <c r="A29" s="39" t="s">
        <v>136</v>
      </c>
      <c r="B29" s="42">
        <f>+Historicals!B206</f>
        <v>0.12</v>
      </c>
      <c r="C29" s="42">
        <f>+Historicals!C206</f>
        <v>0.08</v>
      </c>
      <c r="D29" s="42">
        <f>+Historicals!D206</f>
        <v>0.03</v>
      </c>
      <c r="E29" s="42">
        <f>+Historicals!E206</f>
        <v>0.01</v>
      </c>
      <c r="F29" s="42">
        <f>+Historicals!F206</f>
        <v>7.0000000000000007E-2</v>
      </c>
      <c r="G29" s="42">
        <f>+Historicals!G206</f>
        <v>-0.12</v>
      </c>
      <c r="H29" s="42">
        <f>+Historicals!H206</f>
        <v>0.08</v>
      </c>
      <c r="I29" s="42">
        <f>+Historicals!I206</f>
        <v>0.09</v>
      </c>
      <c r="J29" s="44">
        <f>AVERAGE(B29,C29,D29,E29,F29,I29)</f>
        <v>6.6666666666666666E-2</v>
      </c>
      <c r="K29" s="44">
        <f>+J29</f>
        <v>6.6666666666666666E-2</v>
      </c>
      <c r="L29" s="44">
        <f t="shared" ref="L29" si="39">+K29</f>
        <v>6.6666666666666666E-2</v>
      </c>
      <c r="M29" s="44">
        <f t="shared" ref="M29" si="40">+L29</f>
        <v>6.6666666666666666E-2</v>
      </c>
      <c r="N29" s="44">
        <f t="shared" ref="N29" si="41">+M29</f>
        <v>6.6666666666666666E-2</v>
      </c>
      <c r="P29" s="83"/>
      <c r="R29" s="9" t="s">
        <v>133</v>
      </c>
      <c r="S29" s="9">
        <f>J75</f>
        <v>2939.8451064817154</v>
      </c>
      <c r="T29" s="9">
        <v>3531</v>
      </c>
      <c r="U29" s="9">
        <f t="shared" si="28"/>
        <v>591.15489351828455</v>
      </c>
    </row>
    <row r="30" spans="1:21" x14ac:dyDescent="0.35">
      <c r="A30" s="39" t="s">
        <v>137</v>
      </c>
      <c r="B30" s="42" t="str">
        <f t="shared" ref="B30:H30" si="42">+IFERROR(B28-B29,"nm")</f>
        <v>nm</v>
      </c>
      <c r="C30" s="42">
        <f t="shared" si="42"/>
        <v>-3.8095238095238598E-3</v>
      </c>
      <c r="D30" s="42">
        <f t="shared" si="42"/>
        <v>-5.0147492625371437E-4</v>
      </c>
      <c r="E30" s="42">
        <f t="shared" si="42"/>
        <v>6.4265247646334324E-4</v>
      </c>
      <c r="F30" s="42">
        <f t="shared" si="42"/>
        <v>-4.7914135277439818E-3</v>
      </c>
      <c r="G30" s="42">
        <f t="shared" si="42"/>
        <v>1.9391634980988615E-3</v>
      </c>
      <c r="H30" s="42">
        <f t="shared" si="42"/>
        <v>3.8542789394265392E-3</v>
      </c>
      <c r="I30" s="42">
        <f>+IFERROR(I28-I29,"nm")</f>
        <v>2.2832140015910107E-3</v>
      </c>
      <c r="J30" s="44">
        <v>0</v>
      </c>
      <c r="K30" s="44">
        <v>0</v>
      </c>
      <c r="L30" s="44">
        <v>0</v>
      </c>
      <c r="M30" s="44">
        <v>0</v>
      </c>
      <c r="N30" s="44">
        <v>0</v>
      </c>
      <c r="P30" s="83"/>
      <c r="R30" s="41" t="s">
        <v>128</v>
      </c>
      <c r="S30" s="42">
        <f t="shared" ref="S30:S31" si="43">J76</f>
        <v>-0.10724412193084865</v>
      </c>
      <c r="T30" s="42">
        <f>+IFERROR(T29/I75-1,"nm")</f>
        <v>7.227452171272386E-2</v>
      </c>
      <c r="U30" s="42">
        <f t="shared" si="28"/>
        <v>0.17951864364357251</v>
      </c>
    </row>
    <row r="31" spans="1:21" x14ac:dyDescent="0.35">
      <c r="A31" s="40" t="s">
        <v>114</v>
      </c>
      <c r="B31" s="3">
        <f t="shared" ref="B31:I31" si="44">B21-B23-B27</f>
        <v>824</v>
      </c>
      <c r="C31" s="3">
        <f t="shared" si="44"/>
        <v>719</v>
      </c>
      <c r="D31" s="3">
        <f t="shared" si="44"/>
        <v>646</v>
      </c>
      <c r="E31" s="3">
        <f t="shared" si="44"/>
        <v>595</v>
      </c>
      <c r="F31" s="3">
        <f t="shared" si="44"/>
        <v>597</v>
      </c>
      <c r="G31" s="3">
        <f t="shared" si="44"/>
        <v>516</v>
      </c>
      <c r="H31" s="3">
        <f t="shared" si="44"/>
        <v>507</v>
      </c>
      <c r="I31" s="3">
        <f t="shared" si="44"/>
        <v>633</v>
      </c>
      <c r="J31" s="3">
        <f>+I31*(1+J32)</f>
        <v>621.39499999999998</v>
      </c>
      <c r="K31" s="3">
        <f>+J31*(1+K32)</f>
        <v>610.0027583333333</v>
      </c>
      <c r="L31" s="3">
        <f t="shared" ref="L31:N31" si="45">+K31*(1+L32)</f>
        <v>598.81937443055551</v>
      </c>
      <c r="M31" s="3">
        <f t="shared" si="45"/>
        <v>587.84101923266201</v>
      </c>
      <c r="N31" s="3">
        <f t="shared" si="45"/>
        <v>577.06393388006325</v>
      </c>
      <c r="O31" s="1" t="s">
        <v>217</v>
      </c>
      <c r="P31" s="83"/>
      <c r="R31" s="41" t="s">
        <v>130</v>
      </c>
      <c r="S31" s="42">
        <f t="shared" si="43"/>
        <v>0.21255147190479765</v>
      </c>
      <c r="T31" s="42">
        <f>+IFERROR(T29/T$21,"nm")</f>
        <v>0.26315397227604709</v>
      </c>
      <c r="U31" s="42">
        <f t="shared" si="28"/>
        <v>5.0602500371249443E-2</v>
      </c>
    </row>
    <row r="32" spans="1:21" x14ac:dyDescent="0.35">
      <c r="A32" s="39" t="s">
        <v>128</v>
      </c>
      <c r="B32" s="42" t="str">
        <f t="shared" ref="B32:H32" si="46">+IFERROR(B31/A31-1,"nm")</f>
        <v>nm</v>
      </c>
      <c r="C32" s="42">
        <f t="shared" si="46"/>
        <v>-0.12742718446601942</v>
      </c>
      <c r="D32" s="42">
        <f t="shared" si="46"/>
        <v>-0.10152990264255912</v>
      </c>
      <c r="E32" s="42">
        <f t="shared" si="46"/>
        <v>-7.8947368421052655E-2</v>
      </c>
      <c r="F32" s="42">
        <f t="shared" si="46"/>
        <v>3.3613445378151141E-3</v>
      </c>
      <c r="G32" s="42">
        <f t="shared" si="46"/>
        <v>-0.13567839195979903</v>
      </c>
      <c r="H32" s="42">
        <f t="shared" si="46"/>
        <v>-1.744186046511631E-2</v>
      </c>
      <c r="I32" s="42">
        <f>+IFERROR(I31/H31-1,"nm")</f>
        <v>0.24852071005917153</v>
      </c>
      <c r="J32" s="42">
        <f>+J33+J34</f>
        <v>-1.833333333333334E-2</v>
      </c>
      <c r="K32" s="42">
        <f t="shared" ref="K32:N32" si="47">+K33+K34</f>
        <v>-1.833333333333334E-2</v>
      </c>
      <c r="L32" s="42">
        <f t="shared" si="47"/>
        <v>-1.833333333333334E-2</v>
      </c>
      <c r="M32" s="42">
        <f t="shared" si="47"/>
        <v>-1.833333333333334E-2</v>
      </c>
      <c r="N32" s="42">
        <f t="shared" si="47"/>
        <v>-1.833333333333334E-2</v>
      </c>
      <c r="P32" s="83"/>
      <c r="R32" s="38" t="s">
        <v>101</v>
      </c>
      <c r="S32" s="38"/>
      <c r="T32" s="38"/>
      <c r="U32" s="38">
        <f t="shared" si="28"/>
        <v>0</v>
      </c>
    </row>
    <row r="33" spans="1:21" x14ac:dyDescent="0.35">
      <c r="A33" s="39" t="s">
        <v>136</v>
      </c>
      <c r="B33" s="42">
        <f>+Historicals!B207</f>
        <v>-0.05</v>
      </c>
      <c r="C33" s="42">
        <f>+Historicals!C207</f>
        <v>-0.13</v>
      </c>
      <c r="D33" s="42">
        <f>+Historicals!D207</f>
        <v>-0.1</v>
      </c>
      <c r="E33" s="42">
        <f>+Historicals!E207</f>
        <v>-0.08</v>
      </c>
      <c r="F33" s="42">
        <f>+Historicals!F207</f>
        <v>0</v>
      </c>
      <c r="G33" s="42">
        <f>+Historicals!G207</f>
        <v>-0.14000000000000001</v>
      </c>
      <c r="H33" s="42">
        <f>+Historicals!H207</f>
        <v>-0.02</v>
      </c>
      <c r="I33" s="42">
        <f>+Historicals!I207</f>
        <v>0.25</v>
      </c>
      <c r="J33" s="44">
        <f>AVERAGE(B33,C33,D33,E33,F33,I33)</f>
        <v>-1.833333333333334E-2</v>
      </c>
      <c r="K33" s="44">
        <f>+J33</f>
        <v>-1.833333333333334E-2</v>
      </c>
      <c r="L33" s="44">
        <f t="shared" ref="L33" si="48">+K33</f>
        <v>-1.833333333333334E-2</v>
      </c>
      <c r="M33" s="44">
        <f t="shared" ref="M33" si="49">+L33</f>
        <v>-1.833333333333334E-2</v>
      </c>
      <c r="N33" s="44">
        <f t="shared" ref="N33" si="50">+M33</f>
        <v>-1.833333333333334E-2</v>
      </c>
      <c r="P33" s="83"/>
      <c r="R33" s="9" t="s">
        <v>135</v>
      </c>
      <c r="S33" s="9">
        <f>S35+S37+S39</f>
        <v>8760.2033333333347</v>
      </c>
      <c r="T33" s="9">
        <f>T35+T37+T39</f>
        <v>7248</v>
      </c>
      <c r="U33" s="9">
        <f t="shared" si="28"/>
        <v>-1512.2033333333347</v>
      </c>
    </row>
    <row r="34" spans="1:21" x14ac:dyDescent="0.35">
      <c r="A34" s="39" t="s">
        <v>137</v>
      </c>
      <c r="B34" s="42" t="str">
        <f t="shared" ref="B34:H34" si="51">+IFERROR(B32-B33,"nm")</f>
        <v>nm</v>
      </c>
      <c r="C34" s="42">
        <f t="shared" si="51"/>
        <v>2.572815533980588E-3</v>
      </c>
      <c r="D34" s="42">
        <f t="shared" si="51"/>
        <v>-1.5299026425591167E-3</v>
      </c>
      <c r="E34" s="42">
        <f t="shared" si="51"/>
        <v>1.0526315789473467E-3</v>
      </c>
      <c r="F34" s="42">
        <f t="shared" si="51"/>
        <v>3.3613445378151141E-3</v>
      </c>
      <c r="G34" s="42">
        <f t="shared" si="51"/>
        <v>4.321608040200986E-3</v>
      </c>
      <c r="H34" s="42">
        <f t="shared" si="51"/>
        <v>2.5581395348836904E-3</v>
      </c>
      <c r="I34" s="42">
        <f>+IFERROR(I32-I33,"nm")</f>
        <v>-1.4792899408284654E-3</v>
      </c>
      <c r="J34" s="44">
        <v>0</v>
      </c>
      <c r="K34" s="44">
        <v>0</v>
      </c>
      <c r="L34" s="44">
        <v>0</v>
      </c>
      <c r="M34" s="44">
        <v>0</v>
      </c>
      <c r="N34" s="44">
        <v>0</v>
      </c>
      <c r="P34" s="83"/>
      <c r="R34" s="39" t="s">
        <v>128</v>
      </c>
      <c r="S34" s="42">
        <f>J86</f>
        <v>0.1607530586104855</v>
      </c>
      <c r="T34" s="42">
        <f>+IFERROR(T33/I85-1,"nm")</f>
        <v>-3.9618391413806853E-2</v>
      </c>
      <c r="U34" s="42">
        <f t="shared" si="28"/>
        <v>-0.20037145002429235</v>
      </c>
    </row>
    <row r="35" spans="1:21" x14ac:dyDescent="0.35">
      <c r="A35" s="9" t="s">
        <v>129</v>
      </c>
      <c r="B35" s="43">
        <f t="shared" ref="B35:H35" si="52">+B42+B38</f>
        <v>3766</v>
      </c>
      <c r="C35" s="43">
        <f t="shared" si="52"/>
        <v>3896</v>
      </c>
      <c r="D35" s="43">
        <f t="shared" si="52"/>
        <v>4015</v>
      </c>
      <c r="E35" s="43">
        <f t="shared" si="52"/>
        <v>3760</v>
      </c>
      <c r="F35" s="43">
        <f t="shared" si="52"/>
        <v>4074</v>
      </c>
      <c r="G35" s="43">
        <f t="shared" si="52"/>
        <v>3047</v>
      </c>
      <c r="H35" s="43">
        <f t="shared" si="52"/>
        <v>5219</v>
      </c>
      <c r="I35" s="43">
        <f>+I42+I38</f>
        <v>5238</v>
      </c>
      <c r="J35" s="43">
        <f>+J21*J37</f>
        <v>5178.5759021143167</v>
      </c>
      <c r="K35" s="43">
        <f t="shared" ref="K35:N35" si="53">+K21*K37</f>
        <v>5492.4875660012867</v>
      </c>
      <c r="L35" s="43">
        <f t="shared" si="53"/>
        <v>5826.5192278150662</v>
      </c>
      <c r="M35" s="43">
        <f t="shared" si="53"/>
        <v>6181.9418148015347</v>
      </c>
      <c r="N35" s="43">
        <f t="shared" si="53"/>
        <v>6560.1070189022294</v>
      </c>
      <c r="O35" s="1" t="s">
        <v>218</v>
      </c>
      <c r="P35" s="83"/>
      <c r="R35" s="40" t="s">
        <v>112</v>
      </c>
      <c r="S35" s="3">
        <f>J89</f>
        <v>6408.9333333333334</v>
      </c>
      <c r="T35" s="3">
        <v>5435</v>
      </c>
      <c r="U35" s="3">
        <f t="shared" si="28"/>
        <v>-973.93333333333339</v>
      </c>
    </row>
    <row r="36" spans="1:21" x14ac:dyDescent="0.35">
      <c r="A36" s="41" t="s">
        <v>128</v>
      </c>
      <c r="B36" s="42" t="str">
        <f t="shared" ref="B36:H36" si="54">+IFERROR(B35/A35-1,"nm")</f>
        <v>nm</v>
      </c>
      <c r="C36" s="42">
        <f t="shared" si="54"/>
        <v>3.4519383961763239E-2</v>
      </c>
      <c r="D36" s="42">
        <f t="shared" si="54"/>
        <v>3.0544147843942548E-2</v>
      </c>
      <c r="E36" s="42">
        <f t="shared" si="54"/>
        <v>-6.3511830635118338E-2</v>
      </c>
      <c r="F36" s="42">
        <f t="shared" si="54"/>
        <v>8.3510638297872308E-2</v>
      </c>
      <c r="G36" s="42">
        <f t="shared" si="54"/>
        <v>-0.25208640157093765</v>
      </c>
      <c r="H36" s="42">
        <f t="shared" si="54"/>
        <v>0.71283229405973092</v>
      </c>
      <c r="I36" s="42">
        <f>+IFERROR(I35/H35-1,"nm")</f>
        <v>3.6405441655489312E-3</v>
      </c>
      <c r="J36" s="42">
        <f>+IFERROR(J35/I35-1,"nm")</f>
        <v>-1.1344806774662763E-2</v>
      </c>
      <c r="K36" s="42">
        <f>+IFERROR(K35/J35-1,"nm")</f>
        <v>6.0617372385872725E-2</v>
      </c>
      <c r="L36" s="42">
        <f t="shared" ref="L36:N36" si="55">+IFERROR(L35/K35-1,"nm")</f>
        <v>6.0816097951945869E-2</v>
      </c>
      <c r="M36" s="42">
        <f t="shared" si="55"/>
        <v>6.1000843400589089E-2</v>
      </c>
      <c r="N36" s="42">
        <f t="shared" si="55"/>
        <v>6.1172559598546616E-2</v>
      </c>
      <c r="P36" s="83"/>
      <c r="R36" s="39" t="s">
        <v>128</v>
      </c>
      <c r="S36" s="42">
        <f>J90</f>
        <v>0.18333333333333335</v>
      </c>
      <c r="T36" s="42">
        <f>+IFERROR(T35/I89-1,"nm")</f>
        <v>3.5081240768095601E-3</v>
      </c>
      <c r="U36" s="42">
        <f t="shared" si="28"/>
        <v>-0.17982520925652379</v>
      </c>
    </row>
    <row r="37" spans="1:21" x14ac:dyDescent="0.35">
      <c r="A37" s="41" t="s">
        <v>130</v>
      </c>
      <c r="B37" s="42">
        <f t="shared" ref="B37:H37" si="56">+IFERROR(B35/B$21,"nm")</f>
        <v>0.27409024745269289</v>
      </c>
      <c r="C37" s="42">
        <f t="shared" si="56"/>
        <v>0.26388512598211866</v>
      </c>
      <c r="D37" s="42">
        <f t="shared" si="56"/>
        <v>0.26386698212407994</v>
      </c>
      <c r="E37" s="42">
        <f t="shared" si="56"/>
        <v>0.25311342982160889</v>
      </c>
      <c r="F37" s="42">
        <f t="shared" si="56"/>
        <v>0.25619418941013711</v>
      </c>
      <c r="G37" s="42">
        <f t="shared" si="56"/>
        <v>0.2103700635183651</v>
      </c>
      <c r="H37" s="42">
        <f t="shared" si="56"/>
        <v>0.30380115256999823</v>
      </c>
      <c r="I37" s="42">
        <f>+IFERROR(I35/I$21,"nm")</f>
        <v>0.28540293140086087</v>
      </c>
      <c r="J37" s="44">
        <f>AVERAGE(B37,C37,D37,E37,F37,I37)</f>
        <v>0.26609215103191641</v>
      </c>
      <c r="K37" s="44">
        <f>+J37</f>
        <v>0.26609215103191641</v>
      </c>
      <c r="L37" s="44">
        <f t="shared" ref="L37" si="57">+K37</f>
        <v>0.26609215103191641</v>
      </c>
      <c r="M37" s="44">
        <f t="shared" ref="M37" si="58">+L37</f>
        <v>0.26609215103191641</v>
      </c>
      <c r="N37" s="44">
        <f t="shared" ref="N37" si="59">+M37</f>
        <v>0.26609215103191641</v>
      </c>
      <c r="P37" s="83"/>
      <c r="R37" s="40" t="s">
        <v>113</v>
      </c>
      <c r="S37" s="3">
        <f>J93</f>
        <v>2154.41</v>
      </c>
      <c r="T37" s="3">
        <v>1666</v>
      </c>
      <c r="U37" s="3">
        <f t="shared" si="28"/>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43">
        <f>+J41*J48</f>
        <v>175.51255585990944</v>
      </c>
      <c r="K38" s="43">
        <f t="shared" ref="K38:N38" si="60">+K41*K48</f>
        <v>186.15166581686589</v>
      </c>
      <c r="L38" s="43">
        <f t="shared" si="60"/>
        <v>197.4726837591023</v>
      </c>
      <c r="M38" s="43">
        <f t="shared" si="60"/>
        <v>209.51868401698533</v>
      </c>
      <c r="N38" s="43">
        <f t="shared" si="60"/>
        <v>222.33547820202349</v>
      </c>
      <c r="O38" s="1" t="s">
        <v>219</v>
      </c>
      <c r="P38" s="83"/>
      <c r="R38" s="39" t="s">
        <v>128</v>
      </c>
      <c r="S38" s="42">
        <f>J94</f>
        <v>0.11166666666666668</v>
      </c>
      <c r="T38" s="42">
        <f>+IFERROR(T37/I93-1,"nm")</f>
        <v>-0.14035087719298245</v>
      </c>
      <c r="U38" s="42">
        <f t="shared" si="28"/>
        <v>-0.25201754385964914</v>
      </c>
    </row>
    <row r="39" spans="1:21" x14ac:dyDescent="0.35">
      <c r="A39" s="41" t="s">
        <v>128</v>
      </c>
      <c r="B39" s="42" t="str">
        <f t="shared" ref="B39:H39" si="61">+IFERROR(B38/A38-1,"nm")</f>
        <v>nm</v>
      </c>
      <c r="C39" s="42">
        <f t="shared" si="61"/>
        <v>9.9173553719008156E-2</v>
      </c>
      <c r="D39" s="42">
        <f t="shared" si="61"/>
        <v>5.2631578947368363E-2</v>
      </c>
      <c r="E39" s="42">
        <f t="shared" si="61"/>
        <v>0.14285714285714279</v>
      </c>
      <c r="F39" s="42">
        <f t="shared" si="61"/>
        <v>-6.8749999999999978E-2</v>
      </c>
      <c r="G39" s="42">
        <f t="shared" si="61"/>
        <v>-6.7114093959731447E-3</v>
      </c>
      <c r="H39" s="42">
        <f t="shared" si="61"/>
        <v>-0.1216216216216216</v>
      </c>
      <c r="I39" s="42">
        <f>+IFERROR(I38/H38-1,"nm")</f>
        <v>-4.6153846153846101E-2</v>
      </c>
      <c r="J39" s="42">
        <f t="shared" ref="J39:N39" si="62">+IFERROR(J38/I38-1,"nm")</f>
        <v>0.41542383757991486</v>
      </c>
      <c r="K39" s="42">
        <f>+IFERROR(K38/J38-1,"nm")</f>
        <v>6.0617372385872947E-2</v>
      </c>
      <c r="L39" s="42">
        <f t="shared" si="62"/>
        <v>6.0816097951945869E-2</v>
      </c>
      <c r="M39" s="42">
        <f t="shared" si="62"/>
        <v>6.1000843400589089E-2</v>
      </c>
      <c r="N39" s="42">
        <f t="shared" si="62"/>
        <v>6.117255959854706E-2</v>
      </c>
      <c r="P39" s="83"/>
      <c r="R39" s="40" t="s">
        <v>114</v>
      </c>
      <c r="S39" s="3">
        <f>J97</f>
        <v>196.86</v>
      </c>
      <c r="T39" s="3">
        <v>147</v>
      </c>
      <c r="U39" s="3">
        <f t="shared" si="28"/>
        <v>-49.860000000000014</v>
      </c>
    </row>
    <row r="40" spans="1:21" x14ac:dyDescent="0.35">
      <c r="A40" s="41" t="s">
        <v>132</v>
      </c>
      <c r="B40" s="42">
        <f t="shared" ref="B40:N40" si="63">+IFERROR(B38/B$21,"nm")</f>
        <v>8.8064046579330417E-3</v>
      </c>
      <c r="C40" s="42">
        <f t="shared" si="63"/>
        <v>9.0083988079111346E-3</v>
      </c>
      <c r="D40" s="42">
        <f t="shared" si="63"/>
        <v>9.2008412197686646E-3</v>
      </c>
      <c r="E40" s="42">
        <f t="shared" si="63"/>
        <v>1.0770784247728038E-2</v>
      </c>
      <c r="F40" s="42">
        <f t="shared" si="63"/>
        <v>9.3698905798012821E-3</v>
      </c>
      <c r="G40" s="42">
        <f t="shared" si="63"/>
        <v>1.0218171775752554E-2</v>
      </c>
      <c r="H40" s="42">
        <f t="shared" si="63"/>
        <v>7.5673787764130628E-3</v>
      </c>
      <c r="I40" s="42">
        <f t="shared" si="63"/>
        <v>6.7563886013185855E-3</v>
      </c>
      <c r="J40" s="42">
        <f>+IFERROR(J38/J$21,"nm")</f>
        <v>9.0184086136122707E-3</v>
      </c>
      <c r="K40" s="42">
        <f t="shared" si="63"/>
        <v>9.0184086136122724E-3</v>
      </c>
      <c r="L40" s="42">
        <f t="shared" si="63"/>
        <v>9.0184086136122707E-3</v>
      </c>
      <c r="M40" s="42">
        <f t="shared" si="63"/>
        <v>9.0184086136122707E-3</v>
      </c>
      <c r="N40" s="42">
        <f t="shared" si="63"/>
        <v>9.0184086136122724E-3</v>
      </c>
      <c r="P40" s="83"/>
      <c r="R40" s="39" t="s">
        <v>128</v>
      </c>
      <c r="S40" s="42">
        <f>J98</f>
        <v>0.02</v>
      </c>
      <c r="T40" s="42">
        <f>+IFERROR(T39/I97-1,"nm")</f>
        <v>-0.23834196891191706</v>
      </c>
      <c r="U40" s="42">
        <f t="shared" si="28"/>
        <v>-0.25834196891191707</v>
      </c>
    </row>
    <row r="41" spans="1:21" x14ac:dyDescent="0.35">
      <c r="A41" s="41" t="s">
        <v>139</v>
      </c>
      <c r="B41" s="42">
        <f t="shared" ref="B41:H41" si="64">+IFERROR(B38/B48,"nm")</f>
        <v>0.19145569620253164</v>
      </c>
      <c r="C41" s="42">
        <f t="shared" si="64"/>
        <v>0.17924528301886791</v>
      </c>
      <c r="D41" s="42">
        <f t="shared" si="64"/>
        <v>0.17094017094017094</v>
      </c>
      <c r="E41" s="42">
        <f t="shared" si="64"/>
        <v>0.18867924528301888</v>
      </c>
      <c r="F41" s="42">
        <f t="shared" si="64"/>
        <v>0.18304668304668303</v>
      </c>
      <c r="G41" s="42">
        <f t="shared" si="64"/>
        <v>0.22945736434108527</v>
      </c>
      <c r="H41" s="42">
        <f t="shared" si="64"/>
        <v>0.21069692058346839</v>
      </c>
      <c r="I41" s="42">
        <f>+IFERROR(I38/I48,"nm")</f>
        <v>0.19405320813771518</v>
      </c>
      <c r="J41" s="44">
        <f>AVERAGE(B41,C41,D41,E41,F41,I41)</f>
        <v>0.18457004777149791</v>
      </c>
      <c r="K41" s="44">
        <f>+J41</f>
        <v>0.18457004777149791</v>
      </c>
      <c r="L41" s="44">
        <f t="shared" ref="L41:N41" si="65">+K41</f>
        <v>0.18457004777149791</v>
      </c>
      <c r="M41" s="44">
        <f t="shared" si="65"/>
        <v>0.18457004777149791</v>
      </c>
      <c r="N41" s="44">
        <f t="shared" si="65"/>
        <v>0.18457004777149791</v>
      </c>
      <c r="P41" s="83"/>
      <c r="R41" s="9" t="s">
        <v>133</v>
      </c>
      <c r="S41" s="9">
        <f>J108</f>
        <v>3051.6241020988291</v>
      </c>
      <c r="T41" s="9">
        <v>2283</v>
      </c>
      <c r="U41" s="9">
        <f t="shared" si="28"/>
        <v>-768.6241020988291</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5003.0633462544074</v>
      </c>
      <c r="K42" s="9">
        <f t="shared" ref="K42:N42" si="66">+K35-K38</f>
        <v>5306.335900184421</v>
      </c>
      <c r="L42" s="9">
        <f t="shared" si="66"/>
        <v>5629.0465440559637</v>
      </c>
      <c r="M42" s="9">
        <f t="shared" si="66"/>
        <v>5972.4231307845494</v>
      </c>
      <c r="N42" s="9">
        <f t="shared" si="66"/>
        <v>6337.7715407002061</v>
      </c>
      <c r="O42" s="1" t="s">
        <v>216</v>
      </c>
      <c r="P42" s="83"/>
      <c r="R42" s="41" t="s">
        <v>128</v>
      </c>
      <c r="S42" s="42">
        <f t="shared" ref="S42:S43" si="67">J109</f>
        <v>0.29032731589802507</v>
      </c>
      <c r="T42" s="42">
        <f>+IFERROR(T41/I108-1,"nm")</f>
        <v>-3.4672304439746338E-2</v>
      </c>
      <c r="U42" s="42">
        <f t="shared" si="28"/>
        <v>-0.32499962033777141</v>
      </c>
    </row>
    <row r="43" spans="1:21" x14ac:dyDescent="0.35">
      <c r="A43" s="41" t="s">
        <v>128</v>
      </c>
      <c r="B43" s="42" t="str">
        <f t="shared" ref="B43:H43" si="68">+IFERROR(B42/A42-1,"nm")</f>
        <v>nm</v>
      </c>
      <c r="C43" s="42">
        <f t="shared" si="68"/>
        <v>3.2373113854595292E-2</v>
      </c>
      <c r="D43" s="42">
        <f t="shared" si="68"/>
        <v>2.9763486579856391E-2</v>
      </c>
      <c r="E43" s="42">
        <f t="shared" si="68"/>
        <v>-7.096774193548383E-2</v>
      </c>
      <c r="F43" s="42">
        <f t="shared" si="68"/>
        <v>9.0277777777777679E-2</v>
      </c>
      <c r="G43" s="42">
        <f t="shared" si="68"/>
        <v>-0.26140127388535028</v>
      </c>
      <c r="H43" s="42">
        <f t="shared" si="68"/>
        <v>0.75543290789927564</v>
      </c>
      <c r="I43" s="42">
        <f>+IFERROR(I42/H42-1,"nm")</f>
        <v>4.9125564943997002E-3</v>
      </c>
      <c r="J43" s="42">
        <f t="shared" ref="J43:N43" si="69">+IFERROR(J42/I42-1,"nm")</f>
        <v>-2.1692736360108045E-2</v>
      </c>
      <c r="K43" s="42">
        <f>+IFERROR(K42/J42-1,"nm")</f>
        <v>6.0617372385872725E-2</v>
      </c>
      <c r="L43" s="42">
        <f t="shared" si="69"/>
        <v>6.0816097951945869E-2</v>
      </c>
      <c r="M43" s="42">
        <f t="shared" si="69"/>
        <v>6.1000843400589089E-2</v>
      </c>
      <c r="N43" s="42">
        <f t="shared" si="69"/>
        <v>6.1172559598546616E-2</v>
      </c>
      <c r="P43" s="83"/>
      <c r="R43" s="41" t="s">
        <v>130</v>
      </c>
      <c r="S43" s="42">
        <f t="shared" si="67"/>
        <v>0.34835082999582145</v>
      </c>
      <c r="T43" s="42">
        <f>+IFERROR(T41/T33,"nm")</f>
        <v>0.31498344370860926</v>
      </c>
      <c r="U43" s="42">
        <f t="shared" si="28"/>
        <v>-3.3367386287212197E-2</v>
      </c>
    </row>
    <row r="44" spans="1:21" x14ac:dyDescent="0.35">
      <c r="A44" s="41" t="s">
        <v>130</v>
      </c>
      <c r="B44" s="42">
        <f t="shared" ref="B44:H44" si="70">+IFERROR(B42/B$21,"nm")</f>
        <v>0.26528384279475981</v>
      </c>
      <c r="C44" s="42">
        <f t="shared" si="70"/>
        <v>0.25487672717420751</v>
      </c>
      <c r="D44" s="42">
        <f t="shared" si="70"/>
        <v>0.25466614090431128</v>
      </c>
      <c r="E44" s="42">
        <f t="shared" si="70"/>
        <v>0.24234264557388085</v>
      </c>
      <c r="F44" s="42">
        <f t="shared" si="70"/>
        <v>0.2468242988303358</v>
      </c>
      <c r="G44" s="42">
        <f t="shared" si="70"/>
        <v>0.20015189174261253</v>
      </c>
      <c r="H44" s="42">
        <f t="shared" si="70"/>
        <v>0.29623377379358518</v>
      </c>
      <c r="I44" s="42">
        <f>+IFERROR(I42/I$21,"nm")</f>
        <v>0.27864654279954232</v>
      </c>
      <c r="J44" s="42">
        <f t="shared" ref="J44:N44" si="71">+IFERROR(J42/J$21,"nm")</f>
        <v>0.25707374241830416</v>
      </c>
      <c r="K44" s="42">
        <f t="shared" si="71"/>
        <v>0.25707374241830416</v>
      </c>
      <c r="L44" s="42">
        <f t="shared" si="71"/>
        <v>0.25707374241830411</v>
      </c>
      <c r="M44" s="42">
        <f t="shared" si="71"/>
        <v>0.25707374241830416</v>
      </c>
      <c r="N44" s="42">
        <f t="shared" si="71"/>
        <v>0.25707374241830416</v>
      </c>
      <c r="P44" s="83"/>
      <c r="R44" s="38" t="s">
        <v>105</v>
      </c>
      <c r="S44" s="38"/>
      <c r="T44" s="38"/>
      <c r="U44" s="38">
        <f t="shared" si="28"/>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43">
        <f>+J21*J47</f>
        <v>242.27085331915444</v>
      </c>
      <c r="K45" s="43">
        <f t="shared" ref="K45:N45" si="72">+K21*K47</f>
        <v>256.95667585304477</v>
      </c>
      <c r="L45" s="43">
        <f t="shared" si="72"/>
        <v>272.58377822112999</v>
      </c>
      <c r="M45" s="43">
        <f t="shared" si="72"/>
        <v>289.21161858993804</v>
      </c>
      <c r="N45" s="43">
        <f t="shared" si="72"/>
        <v>306.90343356472317</v>
      </c>
      <c r="O45" s="1" t="s">
        <v>220</v>
      </c>
      <c r="P45" s="83"/>
      <c r="R45" s="9" t="s">
        <v>135</v>
      </c>
      <c r="S45" s="9">
        <f>S47+S49+S51</f>
        <v>6731.0549999999994</v>
      </c>
      <c r="T45" s="9">
        <f>T47+T49+T51</f>
        <v>6431</v>
      </c>
      <c r="U45" s="9">
        <f t="shared" si="28"/>
        <v>-300.05499999999938</v>
      </c>
    </row>
    <row r="46" spans="1:21" x14ac:dyDescent="0.35">
      <c r="A46" s="41" t="s">
        <v>128</v>
      </c>
      <c r="B46" s="42" t="str">
        <f t="shared" ref="B46:H46" si="73">+IFERROR(B45/A45-1,"nm")</f>
        <v>nm</v>
      </c>
      <c r="C46" s="42">
        <f t="shared" si="73"/>
        <v>0.16346153846153855</v>
      </c>
      <c r="D46" s="42">
        <f t="shared" si="73"/>
        <v>-7.8512396694214837E-2</v>
      </c>
      <c r="E46" s="42">
        <f t="shared" si="73"/>
        <v>-0.12107623318385652</v>
      </c>
      <c r="F46" s="42">
        <f t="shared" si="73"/>
        <v>-0.40306122448979587</v>
      </c>
      <c r="G46" s="42">
        <f t="shared" si="73"/>
        <v>-5.9829059829059839E-2</v>
      </c>
      <c r="H46" s="42">
        <f t="shared" si="73"/>
        <v>-0.10909090909090913</v>
      </c>
      <c r="I46" s="42">
        <f>+IFERROR(I45/H45-1,"nm")</f>
        <v>0.48979591836734704</v>
      </c>
      <c r="J46" s="42">
        <f>+IFERROR(J45/I45-1,"nm")</f>
        <v>0.6593894062955783</v>
      </c>
      <c r="K46" s="42">
        <f>+IFERROR(K45/J45-1,"nm")</f>
        <v>6.0617372385872725E-2</v>
      </c>
      <c r="L46" s="42">
        <f t="shared" ref="L46:N46" si="74">+IFERROR(L45/K45-1,"nm")</f>
        <v>6.0816097951946091E-2</v>
      </c>
      <c r="M46" s="42">
        <f t="shared" si="74"/>
        <v>6.1000843400589089E-2</v>
      </c>
      <c r="N46" s="42">
        <f t="shared" si="74"/>
        <v>6.1172559598546616E-2</v>
      </c>
      <c r="P46" s="83"/>
      <c r="R46" s="39" t="s">
        <v>128</v>
      </c>
      <c r="S46" s="42">
        <f>J119</f>
        <v>0.1303198992443324</v>
      </c>
      <c r="T46" s="42">
        <f>+IFERROR(T45/I118-1,"nm")</f>
        <v>7.9932829554995699E-2</v>
      </c>
      <c r="U46" s="42">
        <f t="shared" si="28"/>
        <v>-5.0387069689336705E-2</v>
      </c>
    </row>
    <row r="47" spans="1:21" x14ac:dyDescent="0.35">
      <c r="A47" s="41" t="s">
        <v>132</v>
      </c>
      <c r="B47" s="42">
        <f t="shared" ref="B47:H47" si="75">+IFERROR(B45/B$21,"nm")</f>
        <v>1.5138282387190683E-2</v>
      </c>
      <c r="C47" s="42">
        <f t="shared" si="75"/>
        <v>1.6391221891086428E-2</v>
      </c>
      <c r="D47" s="42">
        <f t="shared" si="75"/>
        <v>1.4655625657202945E-2</v>
      </c>
      <c r="E47" s="42">
        <f t="shared" si="75"/>
        <v>1.3194210703466847E-2</v>
      </c>
      <c r="F47" s="42">
        <f t="shared" si="75"/>
        <v>7.3575650861526856E-3</v>
      </c>
      <c r="G47" s="42">
        <f t="shared" si="75"/>
        <v>7.5945871306268989E-3</v>
      </c>
      <c r="H47" s="42">
        <f t="shared" si="75"/>
        <v>5.7046393852960009E-3</v>
      </c>
      <c r="I47" s="42">
        <f>+IFERROR(I45/I$21,"nm")</f>
        <v>7.9551027080041418E-3</v>
      </c>
      <c r="J47" s="44">
        <f>AVERAGE(B47,C47,D47,E47,F47,I47)</f>
        <v>1.2448668072183955E-2</v>
      </c>
      <c r="K47" s="44">
        <f>+J47</f>
        <v>1.2448668072183955E-2</v>
      </c>
      <c r="L47" s="44">
        <f t="shared" ref="L47" si="76">+K47</f>
        <v>1.2448668072183955E-2</v>
      </c>
      <c r="M47" s="44">
        <f t="shared" ref="M47" si="77">+L47</f>
        <v>1.2448668072183955E-2</v>
      </c>
      <c r="N47" s="44">
        <f t="shared" ref="N47" si="78">+M47</f>
        <v>1.2448668072183955E-2</v>
      </c>
      <c r="P47" s="83"/>
      <c r="R47" s="40" t="s">
        <v>112</v>
      </c>
      <c r="S47" s="3">
        <f>J122</f>
        <v>4665.9849999999997</v>
      </c>
      <c r="T47" s="3">
        <v>4543</v>
      </c>
      <c r="U47" s="3">
        <f t="shared" si="28"/>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3">
        <f>+J21*J50</f>
        <v>950.92653428360245</v>
      </c>
      <c r="K48" s="43">
        <f>+K21*K50</f>
        <v>1008.569202123879</v>
      </c>
      <c r="L48" s="43">
        <f t="shared" ref="L48:N48" si="79">+L21*L50</f>
        <v>1069.9064455115608</v>
      </c>
      <c r="M48" s="43">
        <f t="shared" si="79"/>
        <v>1135.1716410474924</v>
      </c>
      <c r="N48" s="43">
        <f t="shared" si="79"/>
        <v>1204.6129959140503</v>
      </c>
      <c r="O48" s="1" t="s">
        <v>220</v>
      </c>
      <c r="P48" s="83"/>
      <c r="R48" s="39" t="s">
        <v>128</v>
      </c>
      <c r="S48" s="42">
        <f>J123</f>
        <v>0.13500000000000001</v>
      </c>
      <c r="T48" s="42">
        <f>+IFERROR(T47/I122-1,"nm")</f>
        <v>0.10508392118705911</v>
      </c>
      <c r="U48" s="42">
        <f t="shared" si="28"/>
        <v>-2.9916078812940894E-2</v>
      </c>
    </row>
    <row r="49" spans="1:21" x14ac:dyDescent="0.35">
      <c r="A49" s="41" t="s">
        <v>128</v>
      </c>
      <c r="B49" s="42" t="str">
        <f t="shared" ref="B49:H49" si="80">+IFERROR(B48/A48-1,"nm")</f>
        <v>nm</v>
      </c>
      <c r="C49" s="42">
        <f t="shared" si="80"/>
        <v>0.17405063291139244</v>
      </c>
      <c r="D49" s="42">
        <f t="shared" si="80"/>
        <v>0.10377358490566047</v>
      </c>
      <c r="E49" s="42">
        <f t="shared" si="80"/>
        <v>3.5409035409035505E-2</v>
      </c>
      <c r="F49" s="42">
        <f t="shared" si="80"/>
        <v>-4.0094339622641528E-2</v>
      </c>
      <c r="G49" s="42">
        <f t="shared" si="80"/>
        <v>-0.20761670761670759</v>
      </c>
      <c r="H49" s="42">
        <f t="shared" si="80"/>
        <v>-4.3410852713178349E-2</v>
      </c>
      <c r="I49" s="42">
        <f>+IFERROR(I48/H48-1,"nm")</f>
        <v>3.5656401944894611E-2</v>
      </c>
      <c r="J49" s="42">
        <f t="shared" ref="J49:N49" si="81">+IFERROR(J48/I48-1,"nm")</f>
        <v>0.48814794097590375</v>
      </c>
      <c r="K49" s="42">
        <f t="shared" si="81"/>
        <v>6.0617372385872725E-2</v>
      </c>
      <c r="L49" s="42">
        <f t="shared" si="81"/>
        <v>6.0816097951946091E-2</v>
      </c>
      <c r="M49" s="42">
        <f t="shared" si="81"/>
        <v>6.1000843400589089E-2</v>
      </c>
      <c r="N49" s="42">
        <f t="shared" si="81"/>
        <v>6.1172559598546838E-2</v>
      </c>
      <c r="P49" s="83"/>
      <c r="R49" s="40" t="s">
        <v>113</v>
      </c>
      <c r="S49" s="3">
        <f>J126</f>
        <v>1815.2749999999999</v>
      </c>
      <c r="T49" s="3">
        <v>1664</v>
      </c>
      <c r="U49" s="3">
        <f t="shared" si="28"/>
        <v>-151.27499999999986</v>
      </c>
    </row>
    <row r="50" spans="1:21" x14ac:dyDescent="0.35">
      <c r="A50" s="41" t="s">
        <v>132</v>
      </c>
      <c r="B50" s="42">
        <f t="shared" ref="B50:H50" si="82">+IFERROR(B48/B$21,"nm")</f>
        <v>4.599708879184862E-2</v>
      </c>
      <c r="C50" s="42">
        <f t="shared" si="82"/>
        <v>5.0257382823083174E-2</v>
      </c>
      <c r="D50" s="42">
        <f t="shared" si="82"/>
        <v>5.3824921135646686E-2</v>
      </c>
      <c r="E50" s="42">
        <f t="shared" si="82"/>
        <v>5.7085156512958597E-2</v>
      </c>
      <c r="F50" s="42">
        <f t="shared" si="82"/>
        <v>5.1188529744686205E-2</v>
      </c>
      <c r="G50" s="42">
        <f t="shared" si="82"/>
        <v>4.4531897265948632E-2</v>
      </c>
      <c r="H50" s="42">
        <f t="shared" si="82"/>
        <v>3.5915943884975841E-2</v>
      </c>
      <c r="I50" s="42">
        <f>+IFERROR(I48/I$21,"nm")</f>
        <v>3.4817196098730456E-2</v>
      </c>
      <c r="J50" s="44">
        <f>AVERAGE(B50,C50,D50,E50,F50,I50)</f>
        <v>4.8861712517825617E-2</v>
      </c>
      <c r="K50" s="44">
        <f>+J50</f>
        <v>4.8861712517825617E-2</v>
      </c>
      <c r="L50" s="44">
        <f t="shared" ref="L50" si="83">+K50</f>
        <v>4.8861712517825617E-2</v>
      </c>
      <c r="M50" s="44">
        <f t="shared" ref="M50" si="84">+L50</f>
        <v>4.8861712517825617E-2</v>
      </c>
      <c r="N50" s="44">
        <f t="shared" ref="N50" si="85">+M50</f>
        <v>4.8861712517825617E-2</v>
      </c>
      <c r="P50" s="83"/>
      <c r="R50" s="39" t="s">
        <v>128</v>
      </c>
      <c r="S50" s="42">
        <f>J127</f>
        <v>0.1275</v>
      </c>
      <c r="T50" s="42">
        <f>+IFERROR(T49/I126-1,"nm")</f>
        <v>3.354037267080745E-2</v>
      </c>
      <c r="U50" s="42">
        <f t="shared" si="28"/>
        <v>-9.3959627329192552E-2</v>
      </c>
    </row>
    <row r="51" spans="1:21" ht="14.5" customHeight="1" x14ac:dyDescent="0.35">
      <c r="A51" s="38" t="s">
        <v>100</v>
      </c>
      <c r="B51" s="38"/>
      <c r="C51" s="38"/>
      <c r="D51" s="38"/>
      <c r="E51" s="38"/>
      <c r="F51" s="38"/>
      <c r="G51" s="38"/>
      <c r="H51" s="38"/>
      <c r="I51" s="38"/>
      <c r="J51" s="34"/>
      <c r="K51" s="34"/>
      <c r="L51" s="34"/>
      <c r="M51" s="34"/>
      <c r="N51" s="34"/>
      <c r="P51" s="83" t="s">
        <v>229</v>
      </c>
      <c r="R51" s="40" t="s">
        <v>114</v>
      </c>
      <c r="S51" s="3">
        <f>J130</f>
        <v>249.79499999999999</v>
      </c>
      <c r="T51" s="3">
        <v>224</v>
      </c>
      <c r="U51" s="3">
        <f t="shared" si="28"/>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86">+SUM(K56+K60+K64)</f>
        <v>15339.492675</v>
      </c>
      <c r="L52" s="9">
        <f t="shared" si="86"/>
        <v>17022.961369124998</v>
      </c>
      <c r="M52" s="9">
        <f t="shared" si="86"/>
        <v>18903.216721319997</v>
      </c>
      <c r="N52" s="9">
        <f t="shared" si="86"/>
        <v>21004.652620529559</v>
      </c>
      <c r="P52" s="83"/>
      <c r="R52" s="39" t="s">
        <v>128</v>
      </c>
      <c r="S52" s="42">
        <f>J131</f>
        <v>6.7500000000000004E-2</v>
      </c>
      <c r="T52" s="42">
        <f>+IFERROR(T51/I130-1,"nm")</f>
        <v>-4.2735042735042694E-2</v>
      </c>
      <c r="U52" s="42">
        <f t="shared" si="28"/>
        <v>-0.1102350427350427</v>
      </c>
    </row>
    <row r="53" spans="1:21" x14ac:dyDescent="0.35">
      <c r="A53" s="39" t="s">
        <v>128</v>
      </c>
      <c r="B53" s="42" t="str">
        <f t="shared" ref="B53:I53" si="87">+IFERROR(B52/A52-1,"nm")</f>
        <v>nm</v>
      </c>
      <c r="C53" s="42" t="str">
        <f t="shared" si="87"/>
        <v>nm</v>
      </c>
      <c r="D53" s="42" t="str">
        <f t="shared" si="87"/>
        <v>nm</v>
      </c>
      <c r="E53" s="42" t="str">
        <f t="shared" si="87"/>
        <v>nm</v>
      </c>
      <c r="F53" s="42">
        <f t="shared" si="87"/>
        <v>6.1674962129409261E-2</v>
      </c>
      <c r="G53" s="42">
        <f t="shared" si="87"/>
        <v>-4.7390949857317621E-2</v>
      </c>
      <c r="H53" s="42">
        <f t="shared" si="87"/>
        <v>0.22563389322777372</v>
      </c>
      <c r="I53" s="42">
        <f t="shared" si="87"/>
        <v>8.9298184357541999E-2</v>
      </c>
      <c r="J53" s="42">
        <f t="shared" ref="J53" si="88">+IFERROR(J52/I52-1,"nm")</f>
        <v>0.10835924352912873</v>
      </c>
      <c r="K53" s="42">
        <f>+IFERROR(K52/J52-1,"nm")</f>
        <v>0.10904882000605154</v>
      </c>
      <c r="L53" s="42">
        <f t="shared" ref="L53" si="89">+IFERROR(L52/K52-1,"nm")</f>
        <v>0.10974735147979708</v>
      </c>
      <c r="M53" s="42">
        <f t="shared" ref="M53" si="90">+IFERROR(M52/L52-1,"nm")</f>
        <v>0.11045406914952349</v>
      </c>
      <c r="N53" s="42">
        <f t="shared" ref="N53" si="91">+IFERROR(N52/M52-1,"nm")</f>
        <v>0.111168164137877</v>
      </c>
      <c r="P53" s="83"/>
      <c r="R53" s="9" t="s">
        <v>133</v>
      </c>
      <c r="S53" s="9">
        <f>J141</f>
        <v>1796.0389599146374</v>
      </c>
      <c r="T53" s="9">
        <v>1932</v>
      </c>
      <c r="U53" s="9">
        <f t="shared" si="28"/>
        <v>135.96104008536258</v>
      </c>
    </row>
    <row r="54" spans="1:21" x14ac:dyDescent="0.35">
      <c r="A54" s="39" t="s">
        <v>136</v>
      </c>
      <c r="B54" s="42">
        <f>Historicals!B208</f>
        <v>0</v>
      </c>
      <c r="C54" s="42">
        <f>Historicals!C208</f>
        <v>0</v>
      </c>
      <c r="D54" s="42">
        <f>Historicals!D208</f>
        <v>0.1</v>
      </c>
      <c r="E54" s="42">
        <f>Historicals!E208</f>
        <v>0.09</v>
      </c>
      <c r="F54" s="42">
        <f>Historicals!F208</f>
        <v>0.11</v>
      </c>
      <c r="G54" s="42">
        <f>Historicals!G208</f>
        <v>-0.01</v>
      </c>
      <c r="H54" s="42">
        <f>Historicals!H208</f>
        <v>0.17</v>
      </c>
      <c r="I54" s="42">
        <f>Historicals!I208</f>
        <v>0.12</v>
      </c>
      <c r="J54" s="44">
        <f>J53-J55</f>
        <v>0.10835924352912873</v>
      </c>
      <c r="K54" s="44">
        <f t="shared" ref="K54:N54" si="92">K53-K55</f>
        <v>0.10904882000605154</v>
      </c>
      <c r="L54" s="44">
        <f t="shared" si="92"/>
        <v>0.10974735147979708</v>
      </c>
      <c r="M54" s="44">
        <f t="shared" si="92"/>
        <v>0.11045406914952349</v>
      </c>
      <c r="N54" s="44">
        <f t="shared" si="92"/>
        <v>0.111168164137877</v>
      </c>
      <c r="P54" s="83"/>
      <c r="R54" s="41" t="s">
        <v>128</v>
      </c>
      <c r="S54" s="42">
        <f t="shared" ref="S54:S55" si="93">J142</f>
        <v>-5.2722067555570962E-2</v>
      </c>
      <c r="T54" s="42">
        <f>+IFERROR(T53/I141-1,"nm")</f>
        <v>1.8987341772152E-2</v>
      </c>
      <c r="U54" s="42">
        <f t="shared" si="28"/>
        <v>7.1709409327722962E-2</v>
      </c>
    </row>
    <row r="55" spans="1:21" x14ac:dyDescent="0.35">
      <c r="A55" s="39" t="s">
        <v>137</v>
      </c>
      <c r="B55" s="42" t="str">
        <f t="shared" ref="B55:H55" si="94">+IFERROR(B53-B54,"nm")</f>
        <v>nm</v>
      </c>
      <c r="C55" s="42" t="str">
        <f t="shared" si="94"/>
        <v>nm</v>
      </c>
      <c r="D55" s="42" t="str">
        <f t="shared" si="94"/>
        <v>nm</v>
      </c>
      <c r="E55" s="42" t="str">
        <f t="shared" si="94"/>
        <v>nm</v>
      </c>
      <c r="F55" s="42">
        <f t="shared" si="94"/>
        <v>-4.832503787059074E-2</v>
      </c>
      <c r="G55" s="42">
        <f t="shared" si="94"/>
        <v>-3.7390949857317619E-2</v>
      </c>
      <c r="H55" s="42">
        <f t="shared" si="94"/>
        <v>5.5633893227773706E-2</v>
      </c>
      <c r="I55" s="42">
        <f>+IFERROR(I53-I54,"nm")</f>
        <v>-3.0701815642457997E-2</v>
      </c>
      <c r="J55" s="44">
        <v>0</v>
      </c>
      <c r="K55" s="44">
        <v>0</v>
      </c>
      <c r="L55" s="44">
        <v>0</v>
      </c>
      <c r="M55" s="44">
        <v>0</v>
      </c>
      <c r="N55" s="44">
        <v>0</v>
      </c>
      <c r="P55" s="83"/>
      <c r="R55" s="41" t="s">
        <v>130</v>
      </c>
      <c r="S55" s="42">
        <f t="shared" si="93"/>
        <v>0.26682874525830463</v>
      </c>
      <c r="T55" s="42">
        <f>+IFERROR(T53/T45,"nm")</f>
        <v>0.30041984139325145</v>
      </c>
      <c r="U55" s="42">
        <f t="shared" si="28"/>
        <v>3.3591096134946818E-2</v>
      </c>
    </row>
    <row r="56" spans="1:21" x14ac:dyDescent="0.35">
      <c r="A56" s="40"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95">+K56*(1+L57)</f>
        <v>9501.9925078124961</v>
      </c>
      <c r="M56" s="3">
        <f t="shared" si="95"/>
        <v>10333.41685224609</v>
      </c>
      <c r="N56" s="3">
        <f t="shared" si="95"/>
        <v>11237.590826817621</v>
      </c>
      <c r="O56" s="1" t="s">
        <v>223</v>
      </c>
      <c r="P56" s="83"/>
      <c r="R56" s="38" t="s">
        <v>106</v>
      </c>
      <c r="S56" s="34"/>
      <c r="T56" s="34"/>
      <c r="U56" s="34"/>
    </row>
    <row r="57" spans="1:21" x14ac:dyDescent="0.35">
      <c r="A57" s="39" t="s">
        <v>128</v>
      </c>
      <c r="B57" s="42" t="str">
        <f t="shared" ref="B57:H57" si="96">+IFERROR(B56/A56-1,"nm")</f>
        <v>nm</v>
      </c>
      <c r="C57" s="42" t="str">
        <f t="shared" si="96"/>
        <v>nm</v>
      </c>
      <c r="D57" s="42" t="str">
        <f t="shared" si="96"/>
        <v>nm</v>
      </c>
      <c r="E57" s="42" t="str">
        <f t="shared" si="96"/>
        <v>nm</v>
      </c>
      <c r="F57" s="42">
        <f t="shared" si="96"/>
        <v>7.1148936170212673E-2</v>
      </c>
      <c r="G57" s="42">
        <f t="shared" si="96"/>
        <v>-6.3721595423486432E-2</v>
      </c>
      <c r="H57" s="42">
        <f t="shared" si="96"/>
        <v>0.18295994568907004</v>
      </c>
      <c r="I57" s="42">
        <f>+IFERROR(I56/H56-1,"nm")</f>
        <v>5.9971305595408975E-2</v>
      </c>
      <c r="J57" s="42">
        <f>+J58+J59</f>
        <v>8.7499999999999994E-2</v>
      </c>
      <c r="K57" s="42">
        <f t="shared" ref="K57:N57" si="97">+K58+K59</f>
        <v>8.7499999999999994E-2</v>
      </c>
      <c r="L57" s="42">
        <f t="shared" si="97"/>
        <v>8.7499999999999994E-2</v>
      </c>
      <c r="M57" s="42">
        <f t="shared" si="97"/>
        <v>8.7499999999999994E-2</v>
      </c>
      <c r="N57" s="42">
        <f t="shared" si="97"/>
        <v>8.7499999999999994E-2</v>
      </c>
      <c r="P57" s="83"/>
      <c r="R57" s="9" t="s">
        <v>135</v>
      </c>
      <c r="S57" s="9">
        <f>J151</f>
        <v>102</v>
      </c>
      <c r="T57" s="9">
        <v>58</v>
      </c>
      <c r="U57" s="9">
        <f t="shared" ref="U57:U73" si="98">T57-S57</f>
        <v>-44</v>
      </c>
    </row>
    <row r="58" spans="1:21" x14ac:dyDescent="0.35">
      <c r="A58" s="39" t="s">
        <v>136</v>
      </c>
      <c r="B58" s="42">
        <f>Historicals!B209</f>
        <v>0</v>
      </c>
      <c r="C58" s="42">
        <f>Historicals!C209</f>
        <v>0</v>
      </c>
      <c r="D58" s="42">
        <f>Historicals!D209</f>
        <v>0.08</v>
      </c>
      <c r="E58" s="42">
        <f>Historicals!E209</f>
        <v>0.06</v>
      </c>
      <c r="F58" s="42">
        <f>Historicals!F209</f>
        <v>0.12</v>
      </c>
      <c r="G58" s="42">
        <f>Historicals!G209</f>
        <v>-0.03</v>
      </c>
      <c r="H58" s="42">
        <f>Historicals!H209</f>
        <v>0.13</v>
      </c>
      <c r="I58" s="42">
        <f>Historicals!I209</f>
        <v>0.09</v>
      </c>
      <c r="J58" s="44">
        <f>AVERAGE(D58,E58,F58,I58)</f>
        <v>8.7499999999999994E-2</v>
      </c>
      <c r="K58" s="44">
        <f>+J58</f>
        <v>8.7499999999999994E-2</v>
      </c>
      <c r="L58" s="44">
        <f t="shared" ref="L58" si="99">+K58</f>
        <v>8.7499999999999994E-2</v>
      </c>
      <c r="M58" s="44">
        <f t="shared" ref="M58" si="100">+L58</f>
        <v>8.7499999999999994E-2</v>
      </c>
      <c r="N58" s="44">
        <f t="shared" ref="N58" si="101">+M58</f>
        <v>8.7499999999999994E-2</v>
      </c>
      <c r="P58" s="83"/>
      <c r="R58" s="39" t="s">
        <v>128</v>
      </c>
      <c r="S58" s="42">
        <v>0</v>
      </c>
      <c r="T58" s="42">
        <f>+IFERROR(T57/I151-1,"nm")</f>
        <v>-0.43137254901960786</v>
      </c>
      <c r="U58" s="42">
        <f t="shared" si="98"/>
        <v>-0.43137254901960786</v>
      </c>
    </row>
    <row r="59" spans="1:21" x14ac:dyDescent="0.35">
      <c r="A59" s="39" t="s">
        <v>137</v>
      </c>
      <c r="B59" s="42" t="str">
        <f t="shared" ref="B59:H59" si="102">+IFERROR(B57-B58,"nm")</f>
        <v>nm</v>
      </c>
      <c r="C59" s="42" t="str">
        <f t="shared" si="102"/>
        <v>nm</v>
      </c>
      <c r="D59" s="42" t="str">
        <f t="shared" si="102"/>
        <v>nm</v>
      </c>
      <c r="E59" s="42" t="str">
        <f t="shared" si="102"/>
        <v>nm</v>
      </c>
      <c r="F59" s="42">
        <f t="shared" si="102"/>
        <v>-4.8851063829787322E-2</v>
      </c>
      <c r="G59" s="42">
        <f t="shared" si="102"/>
        <v>-3.3721595423486433E-2</v>
      </c>
      <c r="H59" s="42">
        <f t="shared" si="102"/>
        <v>5.2959945689070032E-2</v>
      </c>
      <c r="I59" s="42">
        <f>+IFERROR(I57-I58,"nm")</f>
        <v>-3.0028694404591022E-2</v>
      </c>
      <c r="J59" s="44">
        <v>0</v>
      </c>
      <c r="K59" s="44">
        <v>0</v>
      </c>
      <c r="L59" s="44">
        <v>0</v>
      </c>
      <c r="M59" s="44">
        <v>0</v>
      </c>
      <c r="N59" s="44">
        <v>0</v>
      </c>
      <c r="P59" s="83"/>
      <c r="R59" s="9" t="s">
        <v>133</v>
      </c>
      <c r="S59" s="3">
        <f>J162</f>
        <v>-4123.268758331471</v>
      </c>
      <c r="T59" s="3">
        <v>-4841</v>
      </c>
      <c r="U59" s="3">
        <f t="shared" si="98"/>
        <v>-717.73124166852904</v>
      </c>
    </row>
    <row r="60" spans="1:21" x14ac:dyDescent="0.35">
      <c r="A60" s="40"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103">+K60*(1+L61)</f>
        <v>6795.5866503750003</v>
      </c>
      <c r="M60" s="3">
        <f t="shared" si="103"/>
        <v>7780.9467146793759</v>
      </c>
      <c r="N60" s="3">
        <f t="shared" si="103"/>
        <v>8909.1839883078846</v>
      </c>
      <c r="O60" s="1" t="s">
        <v>223</v>
      </c>
      <c r="P60" s="83"/>
      <c r="R60" s="41" t="s">
        <v>128</v>
      </c>
      <c r="S60" s="42">
        <v>0</v>
      </c>
      <c r="T60" s="42">
        <f>+IFERROR(T59/I162-1,"nm")</f>
        <v>0.13585171281088693</v>
      </c>
      <c r="U60" s="42">
        <f t="shared" si="98"/>
        <v>0.13585171281088693</v>
      </c>
    </row>
    <row r="61" spans="1:21" x14ac:dyDescent="0.35">
      <c r="A61" s="39" t="s">
        <v>128</v>
      </c>
      <c r="B61" s="42" t="str">
        <f t="shared" ref="B61:H61" si="104">+IFERROR(B60/A60-1,"nm")</f>
        <v>nm</v>
      </c>
      <c r="C61" s="42" t="str">
        <f t="shared" si="104"/>
        <v>nm</v>
      </c>
      <c r="D61" s="42" t="str">
        <f t="shared" si="104"/>
        <v>nm</v>
      </c>
      <c r="E61" s="42" t="str">
        <f t="shared" si="104"/>
        <v>nm</v>
      </c>
      <c r="F61" s="42">
        <f t="shared" si="104"/>
        <v>5.0000000000000044E-2</v>
      </c>
      <c r="G61" s="42">
        <f t="shared" si="104"/>
        <v>-1.1013929381276322E-2</v>
      </c>
      <c r="H61" s="42">
        <f t="shared" si="104"/>
        <v>0.30887651490337364</v>
      </c>
      <c r="I61" s="42">
        <f>+IFERROR(I60/H60-1,"nm")</f>
        <v>0.13288288288288297</v>
      </c>
      <c r="J61" s="42">
        <f>+J62+J63</f>
        <v>0.14500000000000002</v>
      </c>
      <c r="K61" s="42">
        <f t="shared" ref="K61:N61" si="105">+K62+K63</f>
        <v>0.14500000000000002</v>
      </c>
      <c r="L61" s="42">
        <f t="shared" si="105"/>
        <v>0.14500000000000002</v>
      </c>
      <c r="M61" s="42">
        <f t="shared" si="105"/>
        <v>0.14500000000000002</v>
      </c>
      <c r="N61" s="42">
        <f t="shared" si="105"/>
        <v>0.14500000000000002</v>
      </c>
      <c r="P61" s="83"/>
      <c r="R61" s="41" t="s">
        <v>130</v>
      </c>
      <c r="S61" s="42">
        <f>J164</f>
        <v>-40.424203513053634</v>
      </c>
      <c r="T61" s="42">
        <f>+IFERROR(T59/T57,"nm")</f>
        <v>-83.465517241379317</v>
      </c>
      <c r="U61" s="42">
        <f t="shared" si="98"/>
        <v>-43.041313728325683</v>
      </c>
    </row>
    <row r="62" spans="1:21" x14ac:dyDescent="0.35">
      <c r="A62" s="39" t="s">
        <v>136</v>
      </c>
      <c r="B62" s="42">
        <f>Historicals!B210</f>
        <v>0</v>
      </c>
      <c r="C62" s="42">
        <f>Historicals!C210</f>
        <v>0</v>
      </c>
      <c r="D62" s="42">
        <f>Historicals!D210</f>
        <v>0.17</v>
      </c>
      <c r="E62" s="42">
        <f>Historicals!E210</f>
        <v>0.16</v>
      </c>
      <c r="F62" s="42">
        <f>Historicals!F210</f>
        <v>0.09</v>
      </c>
      <c r="G62" s="42">
        <f>Historicals!G210</f>
        <v>0.02</v>
      </c>
      <c r="H62" s="42">
        <f>Historicals!H210</f>
        <v>0.25</v>
      </c>
      <c r="I62" s="42">
        <f>Historicals!I210</f>
        <v>0.16</v>
      </c>
      <c r="J62" s="44">
        <f>AVERAGE(D62,E62,F62,I62)</f>
        <v>0.14500000000000002</v>
      </c>
      <c r="K62" s="44">
        <f>+J62</f>
        <v>0.14500000000000002</v>
      </c>
      <c r="L62" s="44">
        <f t="shared" ref="L62" si="106">+K62</f>
        <v>0.14500000000000002</v>
      </c>
      <c r="M62" s="44">
        <f t="shared" ref="M62" si="107">+L62</f>
        <v>0.14500000000000002</v>
      </c>
      <c r="N62" s="44">
        <f t="shared" ref="N62" si="108">+M62</f>
        <v>0.14500000000000002</v>
      </c>
      <c r="P62" s="83"/>
      <c r="R62" s="68" t="s">
        <v>103</v>
      </c>
      <c r="S62" s="34"/>
      <c r="T62" s="34"/>
      <c r="U62" s="34"/>
    </row>
    <row r="63" spans="1:21" x14ac:dyDescent="0.35">
      <c r="A63" s="39" t="s">
        <v>137</v>
      </c>
      <c r="B63" s="42" t="str">
        <f t="shared" ref="B63:H63" si="109">+IFERROR(B61-B62,"nm")</f>
        <v>nm</v>
      </c>
      <c r="C63" s="42" t="str">
        <f t="shared" si="109"/>
        <v>nm</v>
      </c>
      <c r="D63" s="42" t="str">
        <f t="shared" si="109"/>
        <v>nm</v>
      </c>
      <c r="E63" s="42" t="str">
        <f t="shared" si="109"/>
        <v>nm</v>
      </c>
      <c r="F63" s="42">
        <f t="shared" si="109"/>
        <v>-3.9999999999999952E-2</v>
      </c>
      <c r="G63" s="42">
        <f t="shared" si="109"/>
        <v>-3.1013929381276322E-2</v>
      </c>
      <c r="H63" s="42">
        <f t="shared" si="109"/>
        <v>5.8876514903373645E-2</v>
      </c>
      <c r="I63" s="42">
        <f>+IFERROR(I61-I62,"nm")</f>
        <v>-2.7117117117117034E-2</v>
      </c>
      <c r="J63" s="44">
        <v>0</v>
      </c>
      <c r="K63" s="44">
        <v>0</v>
      </c>
      <c r="L63" s="44">
        <v>0</v>
      </c>
      <c r="M63" s="44">
        <v>0</v>
      </c>
      <c r="N63" s="44">
        <v>0</v>
      </c>
      <c r="P63" s="83"/>
      <c r="R63" s="9" t="s">
        <v>135</v>
      </c>
      <c r="S63" s="9">
        <f>I179</f>
        <v>2346</v>
      </c>
      <c r="T63" s="9">
        <v>2427</v>
      </c>
      <c r="U63" s="9">
        <f t="shared" si="98"/>
        <v>81</v>
      </c>
    </row>
    <row r="64" spans="1:21" x14ac:dyDescent="0.35">
      <c r="A64" s="40" t="s">
        <v>114</v>
      </c>
      <c r="B64" s="3">
        <f t="shared" ref="B64:I64" si="110">B52-B56-B60</f>
        <v>0</v>
      </c>
      <c r="C64" s="3">
        <f t="shared" si="110"/>
        <v>0</v>
      </c>
      <c r="D64" s="3">
        <f t="shared" si="110"/>
        <v>0</v>
      </c>
      <c r="E64" s="3">
        <f t="shared" si="110"/>
        <v>427</v>
      </c>
      <c r="F64" s="3">
        <f t="shared" si="110"/>
        <v>432</v>
      </c>
      <c r="G64" s="3">
        <f t="shared" si="110"/>
        <v>402</v>
      </c>
      <c r="H64" s="3">
        <f t="shared" si="110"/>
        <v>490</v>
      </c>
      <c r="I64" s="3">
        <f t="shared" si="110"/>
        <v>564</v>
      </c>
      <c r="J64" s="3">
        <f>+I64*(1+J65)</f>
        <v>613.34999999999991</v>
      </c>
      <c r="K64" s="3">
        <f>+J64*(1+K65)</f>
        <v>667.01812499999983</v>
      </c>
      <c r="L64" s="3">
        <f t="shared" ref="L64:N64" si="111">+K64*(1+L65)</f>
        <v>725.38221093749974</v>
      </c>
      <c r="M64" s="3">
        <f t="shared" si="111"/>
        <v>788.85315439453086</v>
      </c>
      <c r="N64" s="3">
        <f t="shared" si="111"/>
        <v>857.8778054040522</v>
      </c>
      <c r="O64" s="1" t="s">
        <v>223</v>
      </c>
      <c r="P64" s="83"/>
      <c r="R64" s="39" t="s">
        <v>128</v>
      </c>
      <c r="S64" s="42">
        <v>0</v>
      </c>
      <c r="T64" s="42">
        <f>+IFERROR(T63/I179-1,"nm")</f>
        <v>3.4526854219948833E-2</v>
      </c>
      <c r="U64" s="42">
        <f t="shared" si="98"/>
        <v>3.4526854219948833E-2</v>
      </c>
    </row>
    <row r="65" spans="1:21" x14ac:dyDescent="0.35">
      <c r="A65" s="39" t="s">
        <v>128</v>
      </c>
      <c r="B65" s="42" t="str">
        <f t="shared" ref="B65:H65" si="112">+IFERROR(B64/A64-1,"nm")</f>
        <v>nm</v>
      </c>
      <c r="C65" s="42" t="str">
        <f t="shared" si="112"/>
        <v>nm</v>
      </c>
      <c r="D65" s="42" t="str">
        <f t="shared" si="112"/>
        <v>nm</v>
      </c>
      <c r="E65" s="42" t="str">
        <f t="shared" si="112"/>
        <v>nm</v>
      </c>
      <c r="F65" s="42">
        <f t="shared" si="112"/>
        <v>1.1709601873536313E-2</v>
      </c>
      <c r="G65" s="42">
        <f t="shared" si="112"/>
        <v>-6.944444444444442E-2</v>
      </c>
      <c r="H65" s="42">
        <f t="shared" si="112"/>
        <v>0.21890547263681581</v>
      </c>
      <c r="I65" s="42">
        <f>+IFERROR(I64/H64-1,"nm")</f>
        <v>0.15102040816326534</v>
      </c>
      <c r="J65" s="42">
        <f>+J66+J67</f>
        <v>8.7499999999999994E-2</v>
      </c>
      <c r="K65" s="42">
        <f t="shared" ref="K65:N65" si="113">+K66+K67</f>
        <v>8.7499999999999994E-2</v>
      </c>
      <c r="L65" s="42">
        <f t="shared" si="113"/>
        <v>8.7499999999999994E-2</v>
      </c>
      <c r="M65" s="42">
        <f t="shared" si="113"/>
        <v>8.7499999999999994E-2</v>
      </c>
      <c r="N65" s="42">
        <f t="shared" si="113"/>
        <v>8.7499999999999994E-2</v>
      </c>
      <c r="P65" s="83"/>
      <c r="R65" s="9" t="s">
        <v>133</v>
      </c>
      <c r="S65" s="3">
        <f>J188</f>
        <v>528.71163902117371</v>
      </c>
      <c r="T65" s="3">
        <v>676</v>
      </c>
      <c r="U65" s="3">
        <f t="shared" si="98"/>
        <v>147.28836097882629</v>
      </c>
    </row>
    <row r="66" spans="1:21" x14ac:dyDescent="0.35">
      <c r="A66" s="39" t="s">
        <v>136</v>
      </c>
      <c r="B66" s="42">
        <f>Historicals!B211</f>
        <v>0</v>
      </c>
      <c r="C66" s="42">
        <f>Historicals!C211</f>
        <v>0</v>
      </c>
      <c r="D66" s="42">
        <f>Historicals!D211</f>
        <v>7.0000000000000007E-2</v>
      </c>
      <c r="E66" s="42">
        <f>Historicals!E211</f>
        <v>0.06</v>
      </c>
      <c r="F66" s="42">
        <f>Historicals!F211</f>
        <v>0.05</v>
      </c>
      <c r="G66" s="42">
        <f>Historicals!G211</f>
        <v>-0.03</v>
      </c>
      <c r="H66" s="42">
        <f>Historicals!H211</f>
        <v>0.19</v>
      </c>
      <c r="I66" s="42">
        <f>Historicals!I211</f>
        <v>0.17</v>
      </c>
      <c r="J66" s="44">
        <f>AVERAGE(D66,E66,F66,I66)</f>
        <v>8.7499999999999994E-2</v>
      </c>
      <c r="K66" s="44">
        <f>+J66</f>
        <v>8.7499999999999994E-2</v>
      </c>
      <c r="L66" s="44">
        <f t="shared" ref="L66" si="114">+K66</f>
        <v>8.7499999999999994E-2</v>
      </c>
      <c r="M66" s="44">
        <f t="shared" ref="M66" si="115">+L66</f>
        <v>8.7499999999999994E-2</v>
      </c>
      <c r="N66" s="44">
        <f t="shared" ref="N66" si="116">+M66</f>
        <v>8.7499999999999994E-2</v>
      </c>
      <c r="P66" s="83"/>
      <c r="R66" s="41" t="s">
        <v>128</v>
      </c>
      <c r="S66" s="42">
        <v>0</v>
      </c>
      <c r="T66" s="42">
        <f>+IFERROR(T65/I188-1,"nm")</f>
        <v>1.0463378176382765E-2</v>
      </c>
      <c r="U66" s="42">
        <f t="shared" si="98"/>
        <v>1.0463378176382765E-2</v>
      </c>
    </row>
    <row r="67" spans="1:21" x14ac:dyDescent="0.35">
      <c r="A67" s="39" t="s">
        <v>137</v>
      </c>
      <c r="B67" s="42" t="str">
        <f t="shared" ref="B67:H67" si="117">+IFERROR(B65-B66,"nm")</f>
        <v>nm</v>
      </c>
      <c r="C67" s="42" t="str">
        <f t="shared" si="117"/>
        <v>nm</v>
      </c>
      <c r="D67" s="42" t="str">
        <f t="shared" si="117"/>
        <v>nm</v>
      </c>
      <c r="E67" s="42" t="str">
        <f t="shared" si="117"/>
        <v>nm</v>
      </c>
      <c r="F67" s="42">
        <f t="shared" si="117"/>
        <v>-3.829039812646369E-2</v>
      </c>
      <c r="G67" s="42">
        <f t="shared" si="117"/>
        <v>-3.9444444444444421E-2</v>
      </c>
      <c r="H67" s="42">
        <f t="shared" si="117"/>
        <v>2.890547263681581E-2</v>
      </c>
      <c r="I67" s="42">
        <f>+IFERROR(I65-I66,"nm")</f>
        <v>-1.8979591836734672E-2</v>
      </c>
      <c r="J67" s="44">
        <v>0</v>
      </c>
      <c r="K67" s="44">
        <v>0</v>
      </c>
      <c r="L67" s="44">
        <v>0</v>
      </c>
      <c r="M67" s="44">
        <v>0</v>
      </c>
      <c r="N67" s="44">
        <v>0</v>
      </c>
      <c r="P67" s="83"/>
      <c r="R67" s="41" t="s">
        <v>130</v>
      </c>
      <c r="S67" s="42">
        <f>J190</f>
        <v>0.22406621640866631</v>
      </c>
      <c r="T67" s="42">
        <f>+IFERROR(T65/T63,"nm")</f>
        <v>0.27853316852080756</v>
      </c>
      <c r="U67" s="42">
        <f t="shared" si="98"/>
        <v>5.4466952112141254E-2</v>
      </c>
    </row>
    <row r="68" spans="1:21" x14ac:dyDescent="0.35">
      <c r="A68" s="9" t="s">
        <v>129</v>
      </c>
      <c r="B68" s="43">
        <f t="shared" ref="B68:I68" si="118">+B75+B71</f>
        <v>0</v>
      </c>
      <c r="C68" s="43">
        <f t="shared" si="118"/>
        <v>85</v>
      </c>
      <c r="D68" s="43">
        <f t="shared" si="118"/>
        <v>106</v>
      </c>
      <c r="E68" s="43">
        <f t="shared" si="118"/>
        <v>1703</v>
      </c>
      <c r="F68" s="43">
        <f t="shared" si="118"/>
        <v>2106</v>
      </c>
      <c r="G68" s="43">
        <f t="shared" si="118"/>
        <v>1673</v>
      </c>
      <c r="H68" s="43">
        <f t="shared" si="118"/>
        <v>2571</v>
      </c>
      <c r="I68" s="43">
        <f t="shared" si="118"/>
        <v>3427</v>
      </c>
      <c r="J68" s="43">
        <f>+J52*J70</f>
        <v>3105.2183208996489</v>
      </c>
      <c r="K68" s="43">
        <f t="shared" ref="K68:N68" si="119">+K52*K70</f>
        <v>3443.8387146549289</v>
      </c>
      <c r="L68" s="43">
        <f t="shared" si="119"/>
        <v>3821.7908925118959</v>
      </c>
      <c r="M68" s="43">
        <f t="shared" si="119"/>
        <v>4243.9232480284236</v>
      </c>
      <c r="N68" s="43">
        <f t="shared" si="119"/>
        <v>4715.7124042537998</v>
      </c>
      <c r="O68" s="1" t="s">
        <v>222</v>
      </c>
      <c r="P68" s="83"/>
      <c r="R68" s="68" t="s">
        <v>107</v>
      </c>
      <c r="S68" s="34"/>
      <c r="T68" s="34"/>
      <c r="U68" s="34"/>
    </row>
    <row r="69" spans="1:21" x14ac:dyDescent="0.35">
      <c r="A69" s="41" t="s">
        <v>128</v>
      </c>
      <c r="B69" s="42" t="str">
        <f t="shared" ref="B69:N69" si="120">+IFERROR(B68/A68-1,"nm")</f>
        <v>nm</v>
      </c>
      <c r="C69" s="42" t="str">
        <f t="shared" si="120"/>
        <v>nm</v>
      </c>
      <c r="D69" s="42">
        <f t="shared" si="120"/>
        <v>0.24705882352941178</v>
      </c>
      <c r="E69" s="42">
        <f t="shared" si="120"/>
        <v>15.066037735849058</v>
      </c>
      <c r="F69" s="42">
        <f t="shared" si="120"/>
        <v>0.23664122137404586</v>
      </c>
      <c r="G69" s="42">
        <f t="shared" si="120"/>
        <v>-0.20560303893637222</v>
      </c>
      <c r="H69" s="42">
        <f t="shared" si="120"/>
        <v>0.53676031081888831</v>
      </c>
      <c r="I69" s="42">
        <f t="shared" si="120"/>
        <v>0.33294437961882539</v>
      </c>
      <c r="J69" s="42">
        <f t="shared" si="120"/>
        <v>-9.3896025415918016E-2</v>
      </c>
      <c r="K69" s="42">
        <f>+IFERROR(K68/J68-1,"nm")</f>
        <v>0.10904882000605176</v>
      </c>
      <c r="L69" s="42">
        <f t="shared" si="120"/>
        <v>0.10974735147979708</v>
      </c>
      <c r="M69" s="42">
        <f t="shared" si="120"/>
        <v>0.11045406914952349</v>
      </c>
      <c r="N69" s="42">
        <f t="shared" si="120"/>
        <v>0.111168164137877</v>
      </c>
      <c r="P69" s="83"/>
      <c r="R69" s="9" t="s">
        <v>135</v>
      </c>
      <c r="S69" s="9">
        <f>J198</f>
        <v>-72</v>
      </c>
      <c r="T69" s="9">
        <v>27</v>
      </c>
      <c r="U69" s="9">
        <f t="shared" si="98"/>
        <v>99</v>
      </c>
    </row>
    <row r="70" spans="1:21" x14ac:dyDescent="0.35">
      <c r="A70" s="41" t="s">
        <v>130</v>
      </c>
      <c r="B70" s="42" t="str">
        <f t="shared" ref="B70:H70" si="121">+IFERROR(B68/B$52,"nm")</f>
        <v>nm</v>
      </c>
      <c r="C70" s="42" t="str">
        <f t="shared" si="121"/>
        <v>nm</v>
      </c>
      <c r="D70" s="42" t="str">
        <f t="shared" si="121"/>
        <v>nm</v>
      </c>
      <c r="E70" s="42">
        <f t="shared" si="121"/>
        <v>0.18426747457260334</v>
      </c>
      <c r="F70" s="42">
        <f t="shared" si="121"/>
        <v>0.21463514064410924</v>
      </c>
      <c r="G70" s="42">
        <f t="shared" si="121"/>
        <v>0.17898791055953783</v>
      </c>
      <c r="H70" s="42">
        <f t="shared" si="121"/>
        <v>0.22442388268156424</v>
      </c>
      <c r="I70" s="42">
        <f>+IFERROR(I68/I$52,"nm")</f>
        <v>0.27462136389133746</v>
      </c>
      <c r="J70" s="44">
        <f>AVERAGE(E70,F70,I70)</f>
        <v>0.22450799303601668</v>
      </c>
      <c r="K70" s="44">
        <f>+J70</f>
        <v>0.22450799303601668</v>
      </c>
      <c r="L70" s="44">
        <f t="shared" ref="L70:N70" si="122">+K70</f>
        <v>0.22450799303601668</v>
      </c>
      <c r="M70" s="44">
        <f t="shared" si="122"/>
        <v>0.22450799303601668</v>
      </c>
      <c r="N70" s="44">
        <f t="shared" si="122"/>
        <v>0.22450799303601668</v>
      </c>
      <c r="P70" s="83"/>
      <c r="R70" s="39" t="s">
        <v>128</v>
      </c>
      <c r="S70" s="42">
        <v>0</v>
      </c>
      <c r="T70" s="42">
        <f>+IFERROR(T69/I198-1,"nm")</f>
        <v>-1.375</v>
      </c>
      <c r="U70" s="42">
        <f t="shared" si="98"/>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43">
        <f>+J74*J81</f>
        <v>165.37321441793361</v>
      </c>
      <c r="K71" s="43">
        <f t="shared" ref="K71:N71" si="123">+K74*K81</f>
        <v>183.40696831081704</v>
      </c>
      <c r="L71" s="43">
        <f t="shared" si="123"/>
        <v>203.5353973258683</v>
      </c>
      <c r="M71" s="43">
        <f t="shared" si="123"/>
        <v>226.01671017647547</v>
      </c>
      <c r="N71" s="43">
        <f t="shared" si="123"/>
        <v>251.14257291127689</v>
      </c>
      <c r="O71" s="1" t="s">
        <v>221</v>
      </c>
      <c r="P71" s="83"/>
      <c r="R71" s="9" t="s">
        <v>133</v>
      </c>
      <c r="S71" s="3">
        <f>J207</f>
        <v>-3036.676478862782</v>
      </c>
      <c r="T71" s="3">
        <v>-2840</v>
      </c>
      <c r="U71" s="3">
        <f t="shared" si="98"/>
        <v>196.67647886278201</v>
      </c>
    </row>
    <row r="72" spans="1:21" x14ac:dyDescent="0.35">
      <c r="A72" s="41" t="s">
        <v>128</v>
      </c>
      <c r="B72" s="42" t="str">
        <f t="shared" ref="B72:N72" si="124">+IFERROR(B71/A71-1,"nm")</f>
        <v>nm</v>
      </c>
      <c r="C72" s="42" t="str">
        <f t="shared" si="124"/>
        <v>nm</v>
      </c>
      <c r="D72" s="42">
        <f t="shared" si="124"/>
        <v>0.24705882352941178</v>
      </c>
      <c r="E72" s="42">
        <f t="shared" si="124"/>
        <v>9.4339622641509413E-2</v>
      </c>
      <c r="F72" s="42">
        <f t="shared" si="124"/>
        <v>-4.31034482758621E-2</v>
      </c>
      <c r="G72" s="42">
        <f t="shared" si="124"/>
        <v>0.18918918918918926</v>
      </c>
      <c r="H72" s="42">
        <f t="shared" si="124"/>
        <v>3.0303030303030276E-2</v>
      </c>
      <c r="I72" s="42">
        <f t="shared" si="124"/>
        <v>-1.4705882352941124E-2</v>
      </c>
      <c r="J72" s="42">
        <f t="shared" si="124"/>
        <v>0.23412846580547475</v>
      </c>
      <c r="K72" s="42">
        <f>+IFERROR(K71/J71-1,"nm")</f>
        <v>0.10904882000605154</v>
      </c>
      <c r="L72" s="42">
        <f t="shared" si="124"/>
        <v>0.10974735147979731</v>
      </c>
      <c r="M72" s="42">
        <f t="shared" si="124"/>
        <v>0.11045406914952327</v>
      </c>
      <c r="N72" s="42">
        <f t="shared" si="124"/>
        <v>0.111168164137877</v>
      </c>
      <c r="P72" s="83"/>
      <c r="R72" s="41" t="s">
        <v>128</v>
      </c>
      <c r="S72" s="42">
        <f t="shared" ref="S72:S73" si="125">J208</f>
        <v>0.3684887241382524</v>
      </c>
      <c r="T72" s="42">
        <f>+IFERROR(T71/I207-1,"nm")</f>
        <v>0.27985579089680046</v>
      </c>
      <c r="U72" s="42">
        <f t="shared" si="98"/>
        <v>-8.8632933241451939E-2</v>
      </c>
    </row>
    <row r="73" spans="1:21" x14ac:dyDescent="0.35">
      <c r="A73" s="41" t="s">
        <v>132</v>
      </c>
      <c r="B73" s="42" t="str">
        <f t="shared" ref="B73:H73" si="126">+IFERROR(B71/B$52,"nm")</f>
        <v>nm</v>
      </c>
      <c r="C73" s="42" t="str">
        <f t="shared" si="126"/>
        <v>nm</v>
      </c>
      <c r="D73" s="42" t="str">
        <f t="shared" si="126"/>
        <v>nm</v>
      </c>
      <c r="E73" s="42">
        <f t="shared" si="126"/>
        <v>1.2551395801774508E-2</v>
      </c>
      <c r="F73" s="42">
        <f t="shared" si="126"/>
        <v>1.1312678353037097E-2</v>
      </c>
      <c r="G73" s="42">
        <f t="shared" si="126"/>
        <v>1.4122178239007167E-2</v>
      </c>
      <c r="H73" s="42">
        <f t="shared" si="126"/>
        <v>1.1871508379888268E-2</v>
      </c>
      <c r="I73" s="42">
        <f>+IFERROR(I71/I$52,"nm")</f>
        <v>1.0738039907043834E-2</v>
      </c>
      <c r="J73" s="42">
        <f>+IFERROR(J71/J52,"nm")</f>
        <v>1.1956521131219032E-2</v>
      </c>
      <c r="K73" s="42">
        <f t="shared" ref="K73:N73" si="127">+IFERROR(K71/K$52,"nm")</f>
        <v>1.1956521131219032E-2</v>
      </c>
      <c r="L73" s="42">
        <f t="shared" si="127"/>
        <v>1.1956521131219032E-2</v>
      </c>
      <c r="M73" s="42">
        <f t="shared" si="127"/>
        <v>1.195652113121903E-2</v>
      </c>
      <c r="N73" s="42">
        <f t="shared" si="127"/>
        <v>1.1956521131219032E-2</v>
      </c>
      <c r="P73" s="83"/>
      <c r="R73" s="41" t="s">
        <v>130</v>
      </c>
      <c r="S73" s="42">
        <f t="shared" si="125"/>
        <v>42.176062206427531</v>
      </c>
      <c r="T73" s="42">
        <f>+IFERROR(T71/T69,"nm")</f>
        <v>-105.18518518518519</v>
      </c>
      <c r="U73" s="42">
        <f t="shared" si="98"/>
        <v>-147.36124739161272</v>
      </c>
    </row>
    <row r="74" spans="1:21" x14ac:dyDescent="0.35">
      <c r="A74" s="41" t="s">
        <v>139</v>
      </c>
      <c r="B74" s="42" t="str">
        <f t="shared" ref="B74:I74" si="128">+IFERROR(B71/B81,"nm")</f>
        <v>nm</v>
      </c>
      <c r="C74" s="42" t="str">
        <f t="shared" si="128"/>
        <v>nm</v>
      </c>
      <c r="D74" s="42">
        <f t="shared" si="128"/>
        <v>0.14950634696755993</v>
      </c>
      <c r="E74" s="42">
        <f t="shared" si="128"/>
        <v>0.13663133097762073</v>
      </c>
      <c r="F74" s="42">
        <f t="shared" si="128"/>
        <v>0.11948331539289558</v>
      </c>
      <c r="G74" s="42">
        <f t="shared" si="128"/>
        <v>0.14915254237288136</v>
      </c>
      <c r="H74" s="42">
        <f t="shared" si="128"/>
        <v>0.1384928716904277</v>
      </c>
      <c r="I74" s="42">
        <f t="shared" si="128"/>
        <v>0.14565217391304347</v>
      </c>
      <c r="J74" s="44">
        <f>AVERAGE(D74,E74,F74,I74)</f>
        <v>0.13781829181277994</v>
      </c>
      <c r="K74" s="44">
        <f>+J74</f>
        <v>0.13781829181277994</v>
      </c>
      <c r="L74" s="44">
        <f t="shared" ref="L74:N74" si="129">+K74</f>
        <v>0.13781829181277994</v>
      </c>
      <c r="M74" s="44">
        <f t="shared" si="129"/>
        <v>0.13781829181277994</v>
      </c>
      <c r="N74" s="44">
        <f t="shared" si="129"/>
        <v>0.13781829181277994</v>
      </c>
      <c r="P74" s="83"/>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+J68-J71</f>
        <v>2939.8451064817154</v>
      </c>
      <c r="K75" s="9">
        <f t="shared" ref="K75:N75" si="130">+K68-K71</f>
        <v>3260.4317463441121</v>
      </c>
      <c r="L75" s="9">
        <f t="shared" si="130"/>
        <v>3618.2554951860275</v>
      </c>
      <c r="M75" s="9">
        <f t="shared" si="130"/>
        <v>4017.9065378519481</v>
      </c>
      <c r="N75" s="9">
        <f t="shared" si="130"/>
        <v>4464.5698313425228</v>
      </c>
      <c r="O75" s="1" t="s">
        <v>216</v>
      </c>
      <c r="P75" s="83"/>
    </row>
    <row r="76" spans="1:21" x14ac:dyDescent="0.35">
      <c r="A76" s="41" t="s">
        <v>128</v>
      </c>
      <c r="B76" s="42" t="str">
        <f t="shared" ref="B76:N76" si="131">+IFERROR(B75/A75-1,"nm")</f>
        <v>nm</v>
      </c>
      <c r="C76" s="42" t="str">
        <f t="shared" si="131"/>
        <v>nm</v>
      </c>
      <c r="D76" s="42" t="str">
        <f t="shared" si="131"/>
        <v>nm</v>
      </c>
      <c r="E76" s="42" t="str">
        <f t="shared" si="131"/>
        <v>nm</v>
      </c>
      <c r="F76" s="42">
        <f t="shared" si="131"/>
        <v>0.25708884688090738</v>
      </c>
      <c r="G76" s="42">
        <f t="shared" si="131"/>
        <v>-0.22756892230576442</v>
      </c>
      <c r="H76" s="42">
        <f t="shared" si="131"/>
        <v>0.58014276443867629</v>
      </c>
      <c r="I76" s="42">
        <f t="shared" si="131"/>
        <v>0.3523613963039014</v>
      </c>
      <c r="J76" s="42">
        <f t="shared" si="131"/>
        <v>-0.10724412193084865</v>
      </c>
      <c r="K76" s="42">
        <f>+IFERROR(K75/J75-1,"nm")</f>
        <v>0.10904882000605176</v>
      </c>
      <c r="L76" s="42">
        <f t="shared" si="131"/>
        <v>0.10974735147979686</v>
      </c>
      <c r="M76" s="42">
        <f t="shared" si="131"/>
        <v>0.11045406914952349</v>
      </c>
      <c r="N76" s="42">
        <f t="shared" si="131"/>
        <v>0.111168164137877</v>
      </c>
      <c r="P76" s="83"/>
    </row>
    <row r="77" spans="1:21" x14ac:dyDescent="0.35">
      <c r="A77" s="41" t="s">
        <v>130</v>
      </c>
      <c r="B77" s="42" t="str">
        <f t="shared" ref="B77:H77" si="132">+IFERROR(B75/B$52,"nm")</f>
        <v>nm</v>
      </c>
      <c r="C77" s="42" t="str">
        <f t="shared" si="132"/>
        <v>nm</v>
      </c>
      <c r="D77" s="42" t="str">
        <f t="shared" si="132"/>
        <v>nm</v>
      </c>
      <c r="E77" s="42">
        <f t="shared" si="132"/>
        <v>0.17171607877082881</v>
      </c>
      <c r="F77" s="42">
        <f t="shared" si="132"/>
        <v>0.20332246229107215</v>
      </c>
      <c r="G77" s="42">
        <f t="shared" si="132"/>
        <v>0.16486573232053064</v>
      </c>
      <c r="H77" s="42">
        <f t="shared" si="132"/>
        <v>0.21255237430167598</v>
      </c>
      <c r="I77" s="42">
        <f>+IFERROR(I75/I$52,"nm")</f>
        <v>0.26388332398429359</v>
      </c>
      <c r="J77" s="42">
        <f>+IFERROR(J75/J52,"nm")</f>
        <v>0.21255147190479765</v>
      </c>
      <c r="K77" s="42">
        <f t="shared" ref="K77:N77" si="133">+IFERROR(K75/K52,"nm")</f>
        <v>0.21255147190479767</v>
      </c>
      <c r="L77" s="42">
        <f t="shared" si="133"/>
        <v>0.21255147190479765</v>
      </c>
      <c r="M77" s="42">
        <f t="shared" si="133"/>
        <v>0.21255147190479762</v>
      </c>
      <c r="N77" s="42">
        <f t="shared" si="133"/>
        <v>0.21255147190479765</v>
      </c>
      <c r="P77" s="83"/>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43">
        <f>+J52*J80</f>
        <v>301.98779489495615</v>
      </c>
      <c r="K78" s="43">
        <f t="shared" ref="K78:N78" si="134">+K52*K80</f>
        <v>334.91920758448066</v>
      </c>
      <c r="L78" s="43">
        <f t="shared" si="134"/>
        <v>371.6757035765898</v>
      </c>
      <c r="M78" s="43">
        <f t="shared" si="134"/>
        <v>412.72879744063624</v>
      </c>
      <c r="N78" s="43">
        <f t="shared" si="134"/>
        <v>458.61110013894552</v>
      </c>
      <c r="O78" s="1" t="s">
        <v>224</v>
      </c>
      <c r="P78" s="83"/>
    </row>
    <row r="79" spans="1:21" x14ac:dyDescent="0.35">
      <c r="A79" s="41" t="s">
        <v>128</v>
      </c>
      <c r="B79" s="42" t="str">
        <f t="shared" ref="B79:N79" si="135">+IFERROR(B78/A78-1,"nm")</f>
        <v>nm</v>
      </c>
      <c r="C79" s="42" t="str">
        <f t="shared" si="135"/>
        <v>nm</v>
      </c>
      <c r="D79" s="42">
        <f t="shared" si="135"/>
        <v>-0.26068376068376065</v>
      </c>
      <c r="E79" s="42">
        <f t="shared" si="135"/>
        <v>0.38728323699421963</v>
      </c>
      <c r="F79" s="42">
        <f t="shared" si="135"/>
        <v>-2.9166666666666674E-2</v>
      </c>
      <c r="G79" s="42">
        <f t="shared" si="135"/>
        <v>-0.40343347639484983</v>
      </c>
      <c r="H79" s="42">
        <f t="shared" si="135"/>
        <v>0.10071942446043169</v>
      </c>
      <c r="I79" s="42">
        <f t="shared" si="135"/>
        <v>0.28758169934640532</v>
      </c>
      <c r="J79" s="42">
        <f t="shared" si="135"/>
        <v>0.53293296900992981</v>
      </c>
      <c r="K79" s="42">
        <f>+IFERROR(K78/J78-1,"nm")</f>
        <v>0.10904882000605154</v>
      </c>
      <c r="L79" s="42">
        <f t="shared" si="135"/>
        <v>0.10974735147979708</v>
      </c>
      <c r="M79" s="42">
        <f t="shared" si="135"/>
        <v>0.11045406914952349</v>
      </c>
      <c r="N79" s="42">
        <f t="shared" si="135"/>
        <v>0.111168164137877</v>
      </c>
      <c r="P79" s="83"/>
    </row>
    <row r="80" spans="1:21" x14ac:dyDescent="0.35">
      <c r="A80" s="41" t="s">
        <v>132</v>
      </c>
      <c r="B80" s="42" t="str">
        <f t="shared" ref="B80:H80" si="136">+IFERROR(B78/B$52,"nm")</f>
        <v>nm</v>
      </c>
      <c r="C80" s="42" t="str">
        <f t="shared" si="136"/>
        <v>nm</v>
      </c>
      <c r="D80" s="42" t="str">
        <f t="shared" si="136"/>
        <v>nm</v>
      </c>
      <c r="E80" s="42">
        <f t="shared" si="136"/>
        <v>2.5968405107119671E-2</v>
      </c>
      <c r="F80" s="42">
        <f t="shared" si="136"/>
        <v>2.3746432939258051E-2</v>
      </c>
      <c r="G80" s="42">
        <f t="shared" si="136"/>
        <v>1.4871081630469669E-2</v>
      </c>
      <c r="H80" s="42">
        <f t="shared" si="136"/>
        <v>1.3355446927374302E-2</v>
      </c>
      <c r="I80" s="42">
        <f>+IFERROR(I78/I$52,"nm")</f>
        <v>1.5786521355877874E-2</v>
      </c>
      <c r="J80" s="44">
        <f>AVERAGE(E80,F80,I80)</f>
        <v>2.1833786467418532E-2</v>
      </c>
      <c r="K80" s="44">
        <f>+J80</f>
        <v>2.1833786467418532E-2</v>
      </c>
      <c r="L80" s="44">
        <f t="shared" ref="L80:N80" si="137">+K80</f>
        <v>2.1833786467418532E-2</v>
      </c>
      <c r="M80" s="44">
        <f t="shared" si="137"/>
        <v>2.1833786467418532E-2</v>
      </c>
      <c r="N80" s="44">
        <f t="shared" si="137"/>
        <v>2.1833786467418532E-2</v>
      </c>
      <c r="P80" s="83"/>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43">
        <f>+J52*J83</f>
        <v>1199.936613948066</v>
      </c>
      <c r="K81" s="43">
        <f t="shared" ref="K81:N81" si="138">+K52*K83</f>
        <v>1330.7882857811596</v>
      </c>
      <c r="L81" s="43">
        <f t="shared" si="138"/>
        <v>1476.8387755259814</v>
      </c>
      <c r="M81" s="43">
        <f t="shared" si="138"/>
        <v>1639.9616277606256</v>
      </c>
      <c r="N81" s="43">
        <f t="shared" si="138"/>
        <v>1822.2731511753389</v>
      </c>
      <c r="O81" s="1" t="s">
        <v>224</v>
      </c>
      <c r="P81" s="83"/>
    </row>
    <row r="82" spans="1:16" x14ac:dyDescent="0.35">
      <c r="A82" s="41" t="s">
        <v>128</v>
      </c>
      <c r="B82" s="42" t="str">
        <f t="shared" ref="B82:H82" si="139">+IFERROR(B81/A81-1,"nm")</f>
        <v>nm</v>
      </c>
      <c r="C82" s="42" t="str">
        <f t="shared" si="139"/>
        <v>nm</v>
      </c>
      <c r="D82" s="42" t="str">
        <f t="shared" si="139"/>
        <v>nm</v>
      </c>
      <c r="E82" s="42">
        <f t="shared" si="139"/>
        <v>0.19746121297602248</v>
      </c>
      <c r="F82" s="42">
        <f t="shared" si="139"/>
        <v>9.4228504122497059E-2</v>
      </c>
      <c r="G82" s="42">
        <f t="shared" si="139"/>
        <v>-4.7362755651237931E-2</v>
      </c>
      <c r="H82" s="42">
        <f t="shared" si="139"/>
        <v>0.1096045197740112</v>
      </c>
      <c r="I82" s="42">
        <f>+IFERROR(I81/H81-1,"nm")</f>
        <v>-6.313645621181263E-2</v>
      </c>
      <c r="J82" s="42">
        <f>+J83+J84</f>
        <v>8.6755690946027961E-2</v>
      </c>
      <c r="K82" s="42">
        <f t="shared" ref="K82:N82" si="140">+K83+K84</f>
        <v>8.6755690946027961E-2</v>
      </c>
      <c r="L82" s="42">
        <f t="shared" si="140"/>
        <v>8.6755690946027961E-2</v>
      </c>
      <c r="M82" s="42">
        <f t="shared" si="140"/>
        <v>8.6755690946027961E-2</v>
      </c>
      <c r="N82" s="42">
        <f t="shared" si="140"/>
        <v>8.6755690946027961E-2</v>
      </c>
      <c r="P82" s="83"/>
    </row>
    <row r="83" spans="1:16" x14ac:dyDescent="0.35">
      <c r="A83" s="41" t="s">
        <v>132</v>
      </c>
      <c r="B83" s="42" t="str">
        <f t="shared" ref="B83:I83" si="141">+IFERROR(B81/B$52,"nm")</f>
        <v>nm</v>
      </c>
      <c r="C83" s="42" t="str">
        <f t="shared" si="141"/>
        <v>nm</v>
      </c>
      <c r="D83" s="42" t="str">
        <f t="shared" si="141"/>
        <v>nm</v>
      </c>
      <c r="E83" s="42">
        <f t="shared" si="141"/>
        <v>9.1863233066435832E-2</v>
      </c>
      <c r="F83" s="42">
        <f t="shared" si="141"/>
        <v>9.4679983693436609E-2</v>
      </c>
      <c r="G83" s="42">
        <f t="shared" si="141"/>
        <v>9.4682785920616241E-2</v>
      </c>
      <c r="H83" s="42">
        <f t="shared" si="141"/>
        <v>8.5719273743016758E-2</v>
      </c>
      <c r="I83" s="42">
        <f t="shared" si="141"/>
        <v>7.37238560782114E-2</v>
      </c>
      <c r="J83" s="44">
        <f>AVERAGE(E83,F83,I83)</f>
        <v>8.6755690946027961E-2</v>
      </c>
      <c r="K83" s="44">
        <f>+J83</f>
        <v>8.6755690946027961E-2</v>
      </c>
      <c r="L83" s="44">
        <f t="shared" ref="L83:N83" si="142">+K83</f>
        <v>8.6755690946027961E-2</v>
      </c>
      <c r="M83" s="44">
        <f t="shared" si="142"/>
        <v>8.6755690946027961E-2</v>
      </c>
      <c r="N83" s="44">
        <f t="shared" si="142"/>
        <v>8.6755690946027961E-2</v>
      </c>
      <c r="P83" s="83"/>
    </row>
    <row r="84" spans="1:16" x14ac:dyDescent="0.35">
      <c r="A84" s="38" t="s">
        <v>101</v>
      </c>
      <c r="B84" s="38"/>
      <c r="C84" s="38"/>
      <c r="D84" s="38"/>
      <c r="E84" s="38"/>
      <c r="F84" s="38"/>
      <c r="G84" s="38"/>
      <c r="H84" s="38"/>
      <c r="I84" s="38"/>
      <c r="J84" s="38"/>
      <c r="K84" s="38"/>
      <c r="L84" s="38"/>
      <c r="M84" s="38"/>
      <c r="N84" s="38"/>
      <c r="P84" s="83" t="s">
        <v>228</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43">+SUM(K89+K93+K97)</f>
        <v>10179.687427777779</v>
      </c>
      <c r="L85" s="9">
        <f t="shared" si="143"/>
        <v>11841.525932398148</v>
      </c>
      <c r="M85" s="9">
        <f t="shared" si="143"/>
        <v>13788.2123530073</v>
      </c>
      <c r="N85" s="9">
        <f t="shared" si="143"/>
        <v>16069.815425263887</v>
      </c>
      <c r="P85" s="83"/>
    </row>
    <row r="86" spans="1:16" x14ac:dyDescent="0.35">
      <c r="A86" s="39" t="s">
        <v>128</v>
      </c>
      <c r="B86" s="42" t="str">
        <f t="shared" ref="B86:H86" si="144">+IFERROR(B85/A85-1,"nm")</f>
        <v>nm</v>
      </c>
      <c r="C86" s="42">
        <f t="shared" si="144"/>
        <v>0.23410498858819695</v>
      </c>
      <c r="D86" s="42">
        <f t="shared" si="144"/>
        <v>0.11941875825627468</v>
      </c>
      <c r="E86" s="42">
        <f t="shared" si="144"/>
        <v>0.21170639603493036</v>
      </c>
      <c r="F86" s="42">
        <f t="shared" si="144"/>
        <v>0.20919361121932223</v>
      </c>
      <c r="G86" s="42">
        <f t="shared" si="144"/>
        <v>7.5869845360824639E-2</v>
      </c>
      <c r="H86" s="42">
        <f t="shared" si="144"/>
        <v>0.24120377301991325</v>
      </c>
      <c r="I86" s="42">
        <f>+IFERROR(I85/H85-1,"nm")</f>
        <v>-8.9626055488540413E-2</v>
      </c>
      <c r="J86" s="42">
        <f t="shared" ref="J86" si="145">+IFERROR(J85/I85-1,"nm")</f>
        <v>0.1607530586104855</v>
      </c>
      <c r="K86" s="42">
        <f>+IFERROR(K85/J85-1,"nm")</f>
        <v>0.16203780214132513</v>
      </c>
      <c r="L86" s="42">
        <f t="shared" ref="L86" si="146">+IFERROR(L85/K85-1,"nm")</f>
        <v>0.16325044520381193</v>
      </c>
      <c r="M86" s="42">
        <f t="shared" ref="M86" si="147">+IFERROR(M85/L85-1,"nm")</f>
        <v>0.1643948957020025</v>
      </c>
      <c r="N86" s="42">
        <f t="shared" ref="N86" si="148">+IFERROR(N85/M85-1,"nm")</f>
        <v>0.16547490086769323</v>
      </c>
      <c r="P86" s="83"/>
    </row>
    <row r="87" spans="1:16" x14ac:dyDescent="0.35">
      <c r="A87" s="39" t="s">
        <v>136</v>
      </c>
      <c r="B87" s="42">
        <f>Historicals!B212</f>
        <v>0.19</v>
      </c>
      <c r="C87" s="42">
        <f>Historicals!C212</f>
        <v>0.27</v>
      </c>
      <c r="D87" s="42">
        <f>Historicals!D212</f>
        <v>0.17</v>
      </c>
      <c r="E87" s="42">
        <f>Historicals!E212</f>
        <v>0.18</v>
      </c>
      <c r="F87" s="42">
        <f>Historicals!F212</f>
        <v>0.24</v>
      </c>
      <c r="G87" s="42">
        <f>Historicals!G212</f>
        <v>0.11</v>
      </c>
      <c r="H87" s="42">
        <f>Historicals!H212</f>
        <v>0.19</v>
      </c>
      <c r="I87" s="42">
        <f>Historicals!I212</f>
        <v>-0.13</v>
      </c>
      <c r="J87" s="44">
        <f>J86-J88</f>
        <v>0.1607530586104855</v>
      </c>
      <c r="K87" s="44">
        <f t="shared" ref="K87:N87" si="149">K86-K88</f>
        <v>0.16203780214132513</v>
      </c>
      <c r="L87" s="44">
        <f t="shared" si="149"/>
        <v>0.16325044520381193</v>
      </c>
      <c r="M87" s="44">
        <f t="shared" si="149"/>
        <v>0.1643948957020025</v>
      </c>
      <c r="N87" s="44">
        <f t="shared" si="149"/>
        <v>0.16547490086769323</v>
      </c>
      <c r="P87" s="83"/>
    </row>
    <row r="88" spans="1:16" x14ac:dyDescent="0.35">
      <c r="A88" s="39" t="s">
        <v>137</v>
      </c>
      <c r="B88" s="42" t="str">
        <f t="shared" ref="B88:I88" si="150">+IFERROR(B86-B87,"nm")</f>
        <v>nm</v>
      </c>
      <c r="C88" s="42">
        <f t="shared" si="150"/>
        <v>-3.5895011411803068E-2</v>
      </c>
      <c r="D88" s="42">
        <f t="shared" si="150"/>
        <v>-5.058124174372533E-2</v>
      </c>
      <c r="E88" s="42">
        <f t="shared" si="150"/>
        <v>3.1706396034930362E-2</v>
      </c>
      <c r="F88" s="42">
        <f t="shared" si="150"/>
        <v>-3.0806388780677763E-2</v>
      </c>
      <c r="G88" s="42">
        <f t="shared" si="150"/>
        <v>-3.4130154639175361E-2</v>
      </c>
      <c r="H88" s="42">
        <f t="shared" si="150"/>
        <v>5.1203773019913246E-2</v>
      </c>
      <c r="I88" s="42">
        <f t="shared" si="150"/>
        <v>4.0373944511459592E-2</v>
      </c>
      <c r="J88" s="44">
        <v>0</v>
      </c>
      <c r="K88" s="44">
        <v>0</v>
      </c>
      <c r="L88" s="44">
        <v>0</v>
      </c>
      <c r="M88" s="44">
        <v>0</v>
      </c>
      <c r="N88" s="44">
        <v>0</v>
      </c>
      <c r="P88" s="83"/>
    </row>
    <row r="89" spans="1:16" x14ac:dyDescent="0.35">
      <c r="A89" s="40" t="s">
        <v>112</v>
      </c>
      <c r="B89" s="50">
        <f>Historicals!B118</f>
        <v>2016</v>
      </c>
      <c r="C89" s="50">
        <f>Historicals!C118</f>
        <v>2599</v>
      </c>
      <c r="D89" s="50">
        <f>Historicals!D118</f>
        <v>2920</v>
      </c>
      <c r="E89" s="50">
        <f>Historicals!E118</f>
        <v>3496</v>
      </c>
      <c r="F89" s="50">
        <f>Historicals!F118</f>
        <v>4262</v>
      </c>
      <c r="G89" s="50">
        <f>Historicals!G118</f>
        <v>4635</v>
      </c>
      <c r="H89" s="50">
        <f>Historicals!H118</f>
        <v>5748</v>
      </c>
      <c r="I89" s="50">
        <f>Historicals!I118</f>
        <v>5416</v>
      </c>
      <c r="J89" s="3">
        <f>+I89*(1+J90)</f>
        <v>6408.9333333333334</v>
      </c>
      <c r="K89" s="3">
        <f>+J89*(1+K90)</f>
        <v>7583.9044444444444</v>
      </c>
      <c r="L89" s="3">
        <f t="shared" ref="L89" si="151">+K89*(1+L90)</f>
        <v>8974.286925925926</v>
      </c>
      <c r="M89" s="3">
        <f t="shared" ref="M89" si="152">+L89*(1+M90)</f>
        <v>10619.57286234568</v>
      </c>
      <c r="N89" s="3">
        <f t="shared" ref="N89" si="153">+M89*(1+N90)</f>
        <v>12566.494553775721</v>
      </c>
      <c r="O89" s="1" t="s">
        <v>217</v>
      </c>
      <c r="P89" s="83"/>
    </row>
    <row r="90" spans="1:16" x14ac:dyDescent="0.35">
      <c r="A90" s="39" t="s">
        <v>128</v>
      </c>
      <c r="B90" s="42" t="str">
        <f t="shared" ref="B90:I98" si="154">+IFERROR(B89/A89-1,"nm")</f>
        <v>nm</v>
      </c>
      <c r="C90" s="42">
        <f t="shared" si="154"/>
        <v>0.28918650793650791</v>
      </c>
      <c r="D90" s="42">
        <f t="shared" si="154"/>
        <v>0.12350904193920731</v>
      </c>
      <c r="E90" s="42">
        <f t="shared" si="154"/>
        <v>0.19726027397260282</v>
      </c>
      <c r="F90" s="42">
        <f t="shared" si="154"/>
        <v>0.21910755148741412</v>
      </c>
      <c r="G90" s="42">
        <f t="shared" si="154"/>
        <v>8.7517597372125833E-2</v>
      </c>
      <c r="H90" s="42">
        <f t="shared" si="154"/>
        <v>0.24012944983818763</v>
      </c>
      <c r="I90" s="42">
        <f t="shared" si="154"/>
        <v>-5.7759220598469052E-2</v>
      </c>
      <c r="J90" s="42">
        <f>+J91+J92</f>
        <v>0.18333333333333335</v>
      </c>
      <c r="K90" s="42">
        <f t="shared" ref="K90:N90" si="155">+K91+K92</f>
        <v>0.18333333333333335</v>
      </c>
      <c r="L90" s="42">
        <f t="shared" si="155"/>
        <v>0.18333333333333335</v>
      </c>
      <c r="M90" s="42">
        <f t="shared" si="155"/>
        <v>0.18333333333333335</v>
      </c>
      <c r="N90" s="42">
        <f t="shared" si="155"/>
        <v>0.18333333333333335</v>
      </c>
      <c r="P90" s="83"/>
    </row>
    <row r="91" spans="1:16" x14ac:dyDescent="0.35">
      <c r="A91" s="39" t="s">
        <v>136</v>
      </c>
      <c r="B91" s="42">
        <f>Historicals!B213</f>
        <v>0.28000000000000003</v>
      </c>
      <c r="C91" s="42">
        <f>Historicals!C213</f>
        <v>0.33</v>
      </c>
      <c r="D91" s="42">
        <f>Historicals!D213</f>
        <v>0.18</v>
      </c>
      <c r="E91" s="42">
        <f>Historicals!E213</f>
        <v>0.16</v>
      </c>
      <c r="F91" s="42">
        <f>Historicals!F213</f>
        <v>0.25</v>
      </c>
      <c r="G91" s="42">
        <f>Historicals!G213</f>
        <v>0.12</v>
      </c>
      <c r="H91" s="42">
        <f>Historicals!H213</f>
        <v>0.19</v>
      </c>
      <c r="I91" s="42">
        <f>Historicals!I213</f>
        <v>-0.1</v>
      </c>
      <c r="J91" s="44">
        <f>AVERAGE(B91,C91,D91,E91,F91,I91)</f>
        <v>0.18333333333333335</v>
      </c>
      <c r="K91" s="44">
        <f>+J91</f>
        <v>0.18333333333333335</v>
      </c>
      <c r="L91" s="44">
        <f t="shared" ref="L91" si="156">+K91</f>
        <v>0.18333333333333335</v>
      </c>
      <c r="M91" s="44">
        <f t="shared" ref="M91" si="157">+L91</f>
        <v>0.18333333333333335</v>
      </c>
      <c r="N91" s="44">
        <f t="shared" ref="N91" si="158">+M91</f>
        <v>0.18333333333333335</v>
      </c>
      <c r="P91" s="83"/>
    </row>
    <row r="92" spans="1:16" x14ac:dyDescent="0.35">
      <c r="A92" s="39" t="s">
        <v>137</v>
      </c>
      <c r="B92" s="42" t="str">
        <f t="shared" ref="B92:I92" si="159">+IFERROR(B90-B91,"nm")</f>
        <v>nm</v>
      </c>
      <c r="C92" s="42">
        <f t="shared" si="159"/>
        <v>-4.0813492063492107E-2</v>
      </c>
      <c r="D92" s="42">
        <f t="shared" si="159"/>
        <v>-5.6490958060792684E-2</v>
      </c>
      <c r="E92" s="42">
        <f t="shared" si="159"/>
        <v>3.7260273972602814E-2</v>
      </c>
      <c r="F92" s="42">
        <f t="shared" si="159"/>
        <v>-3.0892448512585879E-2</v>
      </c>
      <c r="G92" s="42">
        <f t="shared" si="159"/>
        <v>-3.2482402627874163E-2</v>
      </c>
      <c r="H92" s="42">
        <f t="shared" si="159"/>
        <v>5.0129449838187623E-2</v>
      </c>
      <c r="I92" s="42">
        <f t="shared" si="159"/>
        <v>4.2240779401530953E-2</v>
      </c>
      <c r="J92" s="44">
        <v>0</v>
      </c>
      <c r="K92" s="44">
        <v>0</v>
      </c>
      <c r="L92" s="44">
        <v>0</v>
      </c>
      <c r="M92" s="44">
        <v>0</v>
      </c>
      <c r="N92" s="44">
        <v>0</v>
      </c>
      <c r="P92" s="83"/>
    </row>
    <row r="93" spans="1:16" x14ac:dyDescent="0.35">
      <c r="A93" s="40" t="s">
        <v>113</v>
      </c>
      <c r="B93" s="50">
        <f>Historicals!B119</f>
        <v>925</v>
      </c>
      <c r="C93" s="50">
        <f>Historicals!C119</f>
        <v>1055</v>
      </c>
      <c r="D93" s="50">
        <f>Historicals!D119</f>
        <v>1188</v>
      </c>
      <c r="E93" s="50">
        <f>Historicals!E119</f>
        <v>1508</v>
      </c>
      <c r="F93" s="50">
        <f>Historicals!F119</f>
        <v>1808</v>
      </c>
      <c r="G93" s="50">
        <f>Historicals!G119</f>
        <v>1896</v>
      </c>
      <c r="H93" s="50">
        <f>Historicals!H119</f>
        <v>2347</v>
      </c>
      <c r="I93" s="50">
        <f>Historicals!I119</f>
        <v>1938</v>
      </c>
      <c r="J93" s="3">
        <f>+I93*(1+J94)</f>
        <v>2154.41</v>
      </c>
      <c r="K93" s="3">
        <f>+J93*(1+K94)</f>
        <v>2394.9857833333331</v>
      </c>
      <c r="L93" s="3">
        <f t="shared" ref="L93" si="160">+K93*(1+L94)</f>
        <v>2662.4258624722215</v>
      </c>
      <c r="M93" s="3">
        <f t="shared" ref="M93" si="161">+L93*(1+M94)</f>
        <v>2959.7300837816192</v>
      </c>
      <c r="N93" s="3">
        <f t="shared" ref="N93" si="162">+M93*(1+N94)</f>
        <v>3290.2332764705666</v>
      </c>
      <c r="O93" s="1" t="s">
        <v>217</v>
      </c>
      <c r="P93" s="83"/>
    </row>
    <row r="94" spans="1:16" x14ac:dyDescent="0.35">
      <c r="A94" s="39" t="s">
        <v>128</v>
      </c>
      <c r="B94" s="42" t="str">
        <f t="shared" ref="B94:H94" si="163">+IFERROR(B93/A93-1,"nm")</f>
        <v>nm</v>
      </c>
      <c r="C94" s="42">
        <f t="shared" si="163"/>
        <v>0.14054054054054044</v>
      </c>
      <c r="D94" s="42">
        <f t="shared" si="163"/>
        <v>0.12606635071090055</v>
      </c>
      <c r="E94" s="42">
        <f t="shared" si="163"/>
        <v>0.26936026936026947</v>
      </c>
      <c r="F94" s="42">
        <f t="shared" si="163"/>
        <v>0.19893899204244025</v>
      </c>
      <c r="G94" s="42">
        <f t="shared" si="163"/>
        <v>4.8672566371681381E-2</v>
      </c>
      <c r="H94" s="42">
        <f t="shared" si="163"/>
        <v>0.2378691983122363</v>
      </c>
      <c r="I94" s="42">
        <f t="shared" si="154"/>
        <v>-0.17426501917341286</v>
      </c>
      <c r="J94" s="42">
        <f>+J95+J96</f>
        <v>0.11166666666666668</v>
      </c>
      <c r="K94" s="42">
        <f t="shared" ref="K94:N94" si="164">+K95+K96</f>
        <v>0.11166666666666668</v>
      </c>
      <c r="L94" s="42">
        <f t="shared" si="164"/>
        <v>0.11166666666666668</v>
      </c>
      <c r="M94" s="42">
        <f t="shared" si="164"/>
        <v>0.11166666666666668</v>
      </c>
      <c r="N94" s="42">
        <f t="shared" si="164"/>
        <v>0.11166666666666668</v>
      </c>
      <c r="P94" s="83"/>
    </row>
    <row r="95" spans="1:16" x14ac:dyDescent="0.35">
      <c r="A95" s="39" t="s">
        <v>136</v>
      </c>
      <c r="B95" s="42">
        <f>Historicals!B214</f>
        <v>7.0000000000000007E-2</v>
      </c>
      <c r="C95" s="42">
        <f>Historicals!C214</f>
        <v>0.17</v>
      </c>
      <c r="D95" s="42">
        <f>Historicals!D214</f>
        <v>0.18</v>
      </c>
      <c r="E95" s="42">
        <f>Historicals!E214</f>
        <v>0.23</v>
      </c>
      <c r="F95" s="42">
        <f>Historicals!F214</f>
        <v>0.23</v>
      </c>
      <c r="G95" s="42">
        <f>Historicals!G214</f>
        <v>0.08</v>
      </c>
      <c r="H95" s="42">
        <f>Historicals!H214</f>
        <v>0.19</v>
      </c>
      <c r="I95" s="42">
        <f>Historicals!I214</f>
        <v>-0.21</v>
      </c>
      <c r="J95" s="44">
        <f>AVERAGE(B95,C95,D95,E95,F95,I95)</f>
        <v>0.11166666666666668</v>
      </c>
      <c r="K95" s="44">
        <f>+J95</f>
        <v>0.11166666666666668</v>
      </c>
      <c r="L95" s="44">
        <f t="shared" ref="L95" si="165">+K95</f>
        <v>0.11166666666666668</v>
      </c>
      <c r="M95" s="44">
        <f t="shared" ref="M95" si="166">+L95</f>
        <v>0.11166666666666668</v>
      </c>
      <c r="N95" s="44">
        <f t="shared" ref="N95" si="167">+M95</f>
        <v>0.11166666666666668</v>
      </c>
      <c r="P95" s="83"/>
    </row>
    <row r="96" spans="1:16" x14ac:dyDescent="0.35">
      <c r="A96" s="39" t="s">
        <v>137</v>
      </c>
      <c r="B96" s="42" t="str">
        <f t="shared" ref="B96:I96" si="168">+IFERROR(B94-B95,"nm")</f>
        <v>nm</v>
      </c>
      <c r="C96" s="42">
        <f t="shared" si="168"/>
        <v>-2.9459459459459575E-2</v>
      </c>
      <c r="D96" s="42">
        <f t="shared" si="168"/>
        <v>-5.3933649289099439E-2</v>
      </c>
      <c r="E96" s="42">
        <f t="shared" si="168"/>
        <v>3.9360269360269456E-2</v>
      </c>
      <c r="F96" s="42">
        <f t="shared" si="168"/>
        <v>-3.1061007957559755E-2</v>
      </c>
      <c r="G96" s="42">
        <f t="shared" si="168"/>
        <v>-3.1327433628318621E-2</v>
      </c>
      <c r="H96" s="42">
        <f t="shared" si="168"/>
        <v>4.7869198312236294E-2</v>
      </c>
      <c r="I96" s="42">
        <f t="shared" si="168"/>
        <v>3.5734980826587132E-2</v>
      </c>
      <c r="J96" s="44">
        <v>0</v>
      </c>
      <c r="K96" s="44">
        <v>0</v>
      </c>
      <c r="L96" s="44">
        <v>0</v>
      </c>
      <c r="M96" s="44">
        <v>0</v>
      </c>
      <c r="N96" s="44">
        <v>0</v>
      </c>
      <c r="P96" s="83"/>
    </row>
    <row r="97" spans="1:21" x14ac:dyDescent="0.35">
      <c r="A97" s="40" t="s">
        <v>114</v>
      </c>
      <c r="B97" s="3">
        <f t="shared" ref="B97:I97" si="169">B85-B89-B93</f>
        <v>126</v>
      </c>
      <c r="C97" s="3">
        <f t="shared" si="169"/>
        <v>131</v>
      </c>
      <c r="D97" s="3">
        <f t="shared" si="169"/>
        <v>129</v>
      </c>
      <c r="E97" s="3">
        <f t="shared" si="169"/>
        <v>130</v>
      </c>
      <c r="F97" s="3">
        <f t="shared" si="169"/>
        <v>138</v>
      </c>
      <c r="G97" s="3">
        <f t="shared" si="169"/>
        <v>148</v>
      </c>
      <c r="H97" s="3">
        <f t="shared" si="169"/>
        <v>195</v>
      </c>
      <c r="I97" s="3">
        <f t="shared" si="169"/>
        <v>193</v>
      </c>
      <c r="J97" s="3">
        <f>+I97*(1+J98)</f>
        <v>196.86</v>
      </c>
      <c r="K97" s="3">
        <f>+J97*(1+K98)</f>
        <v>200.7972</v>
      </c>
      <c r="L97" s="3">
        <f t="shared" ref="L97" si="170">+K97*(1+L98)</f>
        <v>204.81314399999999</v>
      </c>
      <c r="M97" s="3">
        <f t="shared" ref="M97" si="171">+L97*(1+M98)</f>
        <v>208.90940688000001</v>
      </c>
      <c r="N97" s="3">
        <f t="shared" ref="N97" si="172">+M97*(1+N98)</f>
        <v>213.08759501760002</v>
      </c>
      <c r="O97" s="1" t="s">
        <v>217</v>
      </c>
      <c r="P97" s="83"/>
    </row>
    <row r="98" spans="1:21" x14ac:dyDescent="0.35">
      <c r="A98" s="39" t="s">
        <v>128</v>
      </c>
      <c r="B98" s="42" t="str">
        <f t="shared" ref="B98:H98" si="173">+IFERROR(B97/A97-1,"nm")</f>
        <v>nm</v>
      </c>
      <c r="C98" s="42">
        <f t="shared" si="173"/>
        <v>3.9682539682539764E-2</v>
      </c>
      <c r="D98" s="42">
        <f t="shared" si="173"/>
        <v>-1.5267175572519109E-2</v>
      </c>
      <c r="E98" s="42">
        <f t="shared" si="173"/>
        <v>7.7519379844961378E-3</v>
      </c>
      <c r="F98" s="42">
        <f t="shared" si="173"/>
        <v>6.1538461538461542E-2</v>
      </c>
      <c r="G98" s="42">
        <f t="shared" si="173"/>
        <v>7.2463768115942129E-2</v>
      </c>
      <c r="H98" s="42">
        <f t="shared" si="173"/>
        <v>0.31756756756756754</v>
      </c>
      <c r="I98" s="42">
        <f t="shared" si="154"/>
        <v>-1.025641025641022E-2</v>
      </c>
      <c r="J98" s="42">
        <f>+J99+J100</f>
        <v>0.02</v>
      </c>
      <c r="K98" s="42">
        <f t="shared" ref="K98:N98" si="174">+K99+K100</f>
        <v>0.02</v>
      </c>
      <c r="L98" s="42">
        <f t="shared" si="174"/>
        <v>0.02</v>
      </c>
      <c r="M98" s="42">
        <f t="shared" si="174"/>
        <v>0.02</v>
      </c>
      <c r="N98" s="42">
        <f t="shared" si="174"/>
        <v>0.02</v>
      </c>
      <c r="P98" s="83"/>
    </row>
    <row r="99" spans="1:21" x14ac:dyDescent="0.35">
      <c r="A99" s="39" t="s">
        <v>136</v>
      </c>
      <c r="B99" s="42">
        <f>Historicals!B215</f>
        <v>0.01</v>
      </c>
      <c r="C99" s="42">
        <f>Historicals!C215</f>
        <v>7.0000000000000007E-2</v>
      </c>
      <c r="D99" s="42">
        <f>Historicals!D215</f>
        <v>0.03</v>
      </c>
      <c r="E99" s="42">
        <f>Historicals!E215</f>
        <v>-0.01</v>
      </c>
      <c r="F99" s="42">
        <f>Historicals!F215</f>
        <v>0.08</v>
      </c>
      <c r="G99" s="42">
        <f>Historicals!G215</f>
        <v>0.11</v>
      </c>
      <c r="H99" s="42">
        <f>Historicals!H215</f>
        <v>0.26</v>
      </c>
      <c r="I99" s="42">
        <f>Historicals!I215</f>
        <v>-0.06</v>
      </c>
      <c r="J99" s="44">
        <f>AVERAGE(B99,C99,D99,E99,F99,I99)</f>
        <v>0.02</v>
      </c>
      <c r="K99" s="44">
        <f>+J99</f>
        <v>0.02</v>
      </c>
      <c r="L99" s="44">
        <f t="shared" ref="L99" si="175">+K99</f>
        <v>0.02</v>
      </c>
      <c r="M99" s="44">
        <f t="shared" ref="M99" si="176">+L99</f>
        <v>0.02</v>
      </c>
      <c r="N99" s="44">
        <f t="shared" ref="N99" si="177">+M99</f>
        <v>0.02</v>
      </c>
      <c r="P99" s="83"/>
    </row>
    <row r="100" spans="1:21" x14ac:dyDescent="0.35">
      <c r="A100" s="39" t="s">
        <v>137</v>
      </c>
      <c r="B100" s="42" t="str">
        <f t="shared" ref="B100:I100" si="178">+IFERROR(B98-B99,"nm")</f>
        <v>nm</v>
      </c>
      <c r="C100" s="42">
        <f t="shared" si="178"/>
        <v>-3.0317460317460243E-2</v>
      </c>
      <c r="D100" s="42">
        <f t="shared" si="178"/>
        <v>-4.5267175572519108E-2</v>
      </c>
      <c r="E100" s="42">
        <f t="shared" si="178"/>
        <v>1.775193798449614E-2</v>
      </c>
      <c r="F100" s="42">
        <f t="shared" si="178"/>
        <v>-1.846153846153846E-2</v>
      </c>
      <c r="G100" s="42">
        <f t="shared" si="178"/>
        <v>-3.7536231884057872E-2</v>
      </c>
      <c r="H100" s="42">
        <f t="shared" si="178"/>
        <v>5.7567567567567535E-2</v>
      </c>
      <c r="I100" s="42">
        <f t="shared" si="178"/>
        <v>4.9743589743589778E-2</v>
      </c>
      <c r="J100" s="44">
        <v>0</v>
      </c>
      <c r="K100" s="44">
        <v>0</v>
      </c>
      <c r="L100" s="44">
        <v>0</v>
      </c>
      <c r="M100" s="44">
        <v>0</v>
      </c>
      <c r="N100" s="44">
        <v>0</v>
      </c>
      <c r="P100" s="83"/>
    </row>
    <row r="101" spans="1:21" x14ac:dyDescent="0.35">
      <c r="A101" s="9" t="s">
        <v>129</v>
      </c>
      <c r="B101" s="43">
        <f t="shared" ref="B101:I101" si="179">+B108+B104</f>
        <v>1039</v>
      </c>
      <c r="C101" s="43">
        <f t="shared" si="179"/>
        <v>1420</v>
      </c>
      <c r="D101" s="43">
        <f t="shared" si="179"/>
        <v>1561</v>
      </c>
      <c r="E101" s="43">
        <f t="shared" si="179"/>
        <v>1863</v>
      </c>
      <c r="F101" s="43">
        <f t="shared" si="179"/>
        <v>2426</v>
      </c>
      <c r="G101" s="43">
        <f t="shared" si="179"/>
        <v>2534</v>
      </c>
      <c r="H101" s="43">
        <f t="shared" si="179"/>
        <v>3289</v>
      </c>
      <c r="I101" s="43">
        <f t="shared" si="179"/>
        <v>2406</v>
      </c>
      <c r="J101" s="43">
        <f>+J85*J103</f>
        <v>3146.1057132780238</v>
      </c>
      <c r="K101" s="43">
        <f t="shared" ref="K101:N101" si="180">+K85*K103</f>
        <v>3655.893768361861</v>
      </c>
      <c r="L101" s="43">
        <f t="shared" si="180"/>
        <v>4252.720053664777</v>
      </c>
      <c r="M101" s="43">
        <f t="shared" si="180"/>
        <v>4951.8455233368122</v>
      </c>
      <c r="N101" s="43">
        <f t="shared" si="180"/>
        <v>5771.251670423102</v>
      </c>
      <c r="O101" s="1" t="s">
        <v>218</v>
      </c>
      <c r="P101" s="83"/>
    </row>
    <row r="102" spans="1:21" x14ac:dyDescent="0.35">
      <c r="A102" s="41" t="s">
        <v>128</v>
      </c>
      <c r="B102" s="42" t="str">
        <f t="shared" ref="B102:I102" si="181">+IFERROR(B101/A101-1,"nm")</f>
        <v>nm</v>
      </c>
      <c r="C102" s="42">
        <f t="shared" si="181"/>
        <v>0.36669874879692022</v>
      </c>
      <c r="D102" s="42">
        <f t="shared" si="181"/>
        <v>9.9295774647887303E-2</v>
      </c>
      <c r="E102" s="42">
        <f t="shared" si="181"/>
        <v>0.19346572709801402</v>
      </c>
      <c r="F102" s="42">
        <f t="shared" si="181"/>
        <v>0.3022007514761138</v>
      </c>
      <c r="G102" s="42">
        <f t="shared" si="181"/>
        <v>4.4517724649629109E-2</v>
      </c>
      <c r="H102" s="42">
        <f t="shared" si="181"/>
        <v>0.29794790844514596</v>
      </c>
      <c r="I102" s="42">
        <f t="shared" si="181"/>
        <v>-0.26847065977500761</v>
      </c>
      <c r="J102" s="42">
        <f t="shared" ref="J102" si="182">+IFERROR(J101/I101-1,"nm")</f>
        <v>0.30760835963342625</v>
      </c>
      <c r="K102" s="42">
        <f>+IFERROR(K101/J101-1,"nm")</f>
        <v>0.16203780214132513</v>
      </c>
      <c r="L102" s="42">
        <f t="shared" ref="L102" si="183">+IFERROR(L101/K101-1,"nm")</f>
        <v>0.16325044520381216</v>
      </c>
      <c r="M102" s="42">
        <f t="shared" ref="M102" si="184">+IFERROR(M101/L101-1,"nm")</f>
        <v>0.1643948957020025</v>
      </c>
      <c r="N102" s="42">
        <f t="shared" ref="N102" si="185">+IFERROR(N101/M101-1,"nm")</f>
        <v>0.16547490086769323</v>
      </c>
      <c r="P102" s="83"/>
    </row>
    <row r="103" spans="1:21" x14ac:dyDescent="0.35">
      <c r="A103" s="41" t="s">
        <v>130</v>
      </c>
      <c r="B103" s="42">
        <f t="shared" ref="B103:I103" si="186">+IFERROR(B101/B$85,"nm")</f>
        <v>0.33876752526899251</v>
      </c>
      <c r="C103" s="42">
        <f t="shared" si="186"/>
        <v>0.37516512549537651</v>
      </c>
      <c r="D103" s="42">
        <f t="shared" si="186"/>
        <v>0.36842105263157893</v>
      </c>
      <c r="E103" s="42">
        <f t="shared" si="186"/>
        <v>0.36287495130502534</v>
      </c>
      <c r="F103" s="42">
        <f t="shared" si="186"/>
        <v>0.3907860824742268</v>
      </c>
      <c r="G103" s="42">
        <f t="shared" si="186"/>
        <v>0.37939811349004343</v>
      </c>
      <c r="H103" s="42">
        <f t="shared" si="186"/>
        <v>0.39674306393244874</v>
      </c>
      <c r="I103" s="42">
        <f t="shared" si="186"/>
        <v>0.31880217304889358</v>
      </c>
      <c r="J103" s="44">
        <f>AVERAGE(B103,C103,D103,E103,F103,I103)</f>
        <v>0.35913615170401564</v>
      </c>
      <c r="K103" s="44">
        <f>+J103</f>
        <v>0.35913615170401564</v>
      </c>
      <c r="L103" s="44">
        <f t="shared" ref="L103" si="187">+K103</f>
        <v>0.35913615170401564</v>
      </c>
      <c r="M103" s="44">
        <f t="shared" ref="M103" si="188">+L103</f>
        <v>0.35913615170401564</v>
      </c>
      <c r="N103" s="44">
        <f t="shared" ref="N103" si="189">+M103</f>
        <v>0.35913615170401564</v>
      </c>
      <c r="P103" s="83"/>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43">
        <f>+J107*J114</f>
        <v>94.48161117919453</v>
      </c>
      <c r="K104" s="43">
        <f t="shared" ref="K104:N104" si="190">+K107*K114</f>
        <v>109.79120379744246</v>
      </c>
      <c r="L104" s="43">
        <f t="shared" si="190"/>
        <v>127.71466669683738</v>
      </c>
      <c r="M104" s="43">
        <f t="shared" si="190"/>
        <v>148.71030600807998</v>
      </c>
      <c r="N104" s="43">
        <f t="shared" si="190"/>
        <v>173.31812915277135</v>
      </c>
      <c r="O104" s="1" t="s">
        <v>219</v>
      </c>
      <c r="P104" s="83"/>
    </row>
    <row r="105" spans="1:21" x14ac:dyDescent="0.35">
      <c r="A105" s="41" t="s">
        <v>128</v>
      </c>
      <c r="B105" s="42" t="str">
        <f t="shared" ref="B105:I105" si="191">+IFERROR(B104/A104-1,"nm")</f>
        <v>nm</v>
      </c>
      <c r="C105" s="42">
        <f t="shared" si="191"/>
        <v>4.3478260869565188E-2</v>
      </c>
      <c r="D105" s="42">
        <f t="shared" si="191"/>
        <v>0.125</v>
      </c>
      <c r="E105" s="42">
        <f t="shared" si="191"/>
        <v>3.7037037037036979E-2</v>
      </c>
      <c r="F105" s="42">
        <f t="shared" si="191"/>
        <v>-0.1071428571428571</v>
      </c>
      <c r="G105" s="42">
        <f t="shared" si="191"/>
        <v>-0.12</v>
      </c>
      <c r="H105" s="42">
        <f t="shared" si="191"/>
        <v>4.5454545454545414E-2</v>
      </c>
      <c r="I105" s="42">
        <f t="shared" si="191"/>
        <v>-0.10869565217391308</v>
      </c>
      <c r="J105" s="42">
        <f t="shared" ref="J105" si="192">+IFERROR(J104/I104-1,"nm")</f>
        <v>1.3044295409559643</v>
      </c>
      <c r="K105" s="42">
        <f>+IFERROR(K104/J104-1,"nm")</f>
        <v>0.16203780214132513</v>
      </c>
      <c r="L105" s="42">
        <f t="shared" ref="L105" si="193">+IFERROR(L104/K104-1,"nm")</f>
        <v>0.16325044520381193</v>
      </c>
      <c r="M105" s="42">
        <f t="shared" ref="M105" si="194">+IFERROR(M104/L104-1,"nm")</f>
        <v>0.1643948957020025</v>
      </c>
      <c r="N105" s="42">
        <f t="shared" ref="N105" si="195">+IFERROR(N104/M104-1,"nm")</f>
        <v>0.16547490086769323</v>
      </c>
      <c r="P105" s="83"/>
    </row>
    <row r="106" spans="1:21" x14ac:dyDescent="0.35">
      <c r="A106" s="41" t="s">
        <v>132</v>
      </c>
      <c r="B106" s="42">
        <f t="shared" ref="B106:I106" si="196">+IFERROR(B104/B$85,"nm")</f>
        <v>1.4998369742419302E-2</v>
      </c>
      <c r="C106" s="42">
        <f t="shared" si="196"/>
        <v>1.2681638044914135E-2</v>
      </c>
      <c r="D106" s="42">
        <f t="shared" si="196"/>
        <v>1.2744866650932263E-2</v>
      </c>
      <c r="E106" s="42">
        <f t="shared" si="196"/>
        <v>1.090767432800935E-2</v>
      </c>
      <c r="F106" s="42">
        <f t="shared" si="196"/>
        <v>8.0541237113402053E-3</v>
      </c>
      <c r="G106" s="42">
        <f t="shared" si="196"/>
        <v>6.5878125467884411E-3</v>
      </c>
      <c r="H106" s="42">
        <f t="shared" si="196"/>
        <v>5.5488540410132689E-3</v>
      </c>
      <c r="I106" s="42">
        <f t="shared" si="196"/>
        <v>5.4326222340002651E-3</v>
      </c>
      <c r="J106" s="42">
        <f>+IFERROR(J104/J85,"nm")</f>
        <v>1.0785321708194124E-2</v>
      </c>
      <c r="K106" s="42">
        <f t="shared" ref="K106:N106" si="197">+IFERROR(K104/K$52,"nm")</f>
        <v>7.1574207911307254E-3</v>
      </c>
      <c r="L106" s="42">
        <f t="shared" si="197"/>
        <v>7.5024940683045254E-3</v>
      </c>
      <c r="M106" s="42">
        <f t="shared" si="197"/>
        <v>7.866931231886953E-3</v>
      </c>
      <c r="N106" s="42">
        <f t="shared" si="197"/>
        <v>8.2514161164166742E-3</v>
      </c>
      <c r="P106" s="83"/>
      <c r="R106" s="58"/>
      <c r="S106" s="58"/>
      <c r="T106" s="58"/>
      <c r="U106" s="58"/>
    </row>
    <row r="107" spans="1:21" x14ac:dyDescent="0.35">
      <c r="A107" s="41" t="s">
        <v>139</v>
      </c>
      <c r="B107" s="42">
        <f t="shared" ref="B107:I107" si="198">+IFERROR(B104/B114,"nm")</f>
        <v>0.18110236220472442</v>
      </c>
      <c r="C107" s="42">
        <f t="shared" si="198"/>
        <v>0.20512820512820512</v>
      </c>
      <c r="D107" s="42">
        <f t="shared" si="198"/>
        <v>0.24</v>
      </c>
      <c r="E107" s="42">
        <f t="shared" si="198"/>
        <v>0.21875</v>
      </c>
      <c r="F107" s="42">
        <f t="shared" si="198"/>
        <v>0.2109704641350211</v>
      </c>
      <c r="G107" s="42">
        <f t="shared" si="198"/>
        <v>0.20560747663551401</v>
      </c>
      <c r="H107" s="42">
        <f t="shared" si="198"/>
        <v>0.15972222222222221</v>
      </c>
      <c r="I107" s="42">
        <f t="shared" si="198"/>
        <v>0.13531353135313531</v>
      </c>
      <c r="J107" s="44">
        <f>AVERAGE(B107,C107,D107,E107,F107,I107)</f>
        <v>0.19854409380351434</v>
      </c>
      <c r="K107" s="44">
        <f>+J107</f>
        <v>0.19854409380351434</v>
      </c>
      <c r="L107" s="44">
        <f t="shared" ref="L107" si="199">+K107</f>
        <v>0.19854409380351434</v>
      </c>
      <c r="M107" s="44">
        <f t="shared" ref="M107" si="200">+L107</f>
        <v>0.19854409380351434</v>
      </c>
      <c r="N107" s="44">
        <f t="shared" ref="N107" si="201">+M107</f>
        <v>0.19854409380351434</v>
      </c>
      <c r="P107" s="83"/>
      <c r="R107" s="79"/>
      <c r="S107" s="73"/>
      <c r="T107" s="73"/>
      <c r="U107" s="73"/>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+J101-J104</f>
        <v>3051.6241020988291</v>
      </c>
      <c r="K108" s="9">
        <f t="shared" ref="K108:N108" si="202">+K101-K104</f>
        <v>3546.1025645644186</v>
      </c>
      <c r="L108" s="9">
        <f t="shared" si="202"/>
        <v>4125.0053869679396</v>
      </c>
      <c r="M108" s="9">
        <f t="shared" si="202"/>
        <v>4803.1352173287323</v>
      </c>
      <c r="N108" s="9">
        <f t="shared" si="202"/>
        <v>5597.9335412703304</v>
      </c>
      <c r="O108" s="1" t="s">
        <v>216</v>
      </c>
      <c r="P108" s="83"/>
      <c r="R108" s="79"/>
      <c r="S108" s="73"/>
      <c r="T108" s="73"/>
      <c r="U108" s="73"/>
    </row>
    <row r="109" spans="1:21" x14ac:dyDescent="0.35">
      <c r="A109" s="41" t="s">
        <v>128</v>
      </c>
      <c r="B109" s="42" t="str">
        <f t="shared" ref="B109:I109" si="203">+IFERROR(B108/A108-1,"nm")</f>
        <v>nm</v>
      </c>
      <c r="C109" s="42">
        <f t="shared" si="203"/>
        <v>0.38167170191339372</v>
      </c>
      <c r="D109" s="42">
        <f t="shared" si="203"/>
        <v>9.8396501457725938E-2</v>
      </c>
      <c r="E109" s="42">
        <f t="shared" si="203"/>
        <v>0.19907100199071004</v>
      </c>
      <c r="F109" s="42">
        <f t="shared" si="203"/>
        <v>0.31488655229662421</v>
      </c>
      <c r="G109" s="42">
        <f t="shared" si="203"/>
        <v>4.7979797979798011E-2</v>
      </c>
      <c r="H109" s="42">
        <f t="shared" si="203"/>
        <v>0.30240963855421676</v>
      </c>
      <c r="I109" s="42">
        <f t="shared" si="203"/>
        <v>-0.27073697193956214</v>
      </c>
      <c r="J109" s="42">
        <f t="shared" ref="J109" si="204">+IFERROR(J108/I108-1,"nm")</f>
        <v>0.29032731589802507</v>
      </c>
      <c r="K109" s="42">
        <f>+IFERROR(K108/J108-1,"nm")</f>
        <v>0.16203780214132535</v>
      </c>
      <c r="L109" s="42">
        <f t="shared" ref="L109" si="205">+IFERROR(L108/K108-1,"nm")</f>
        <v>0.16325044520381216</v>
      </c>
      <c r="M109" s="42">
        <f t="shared" ref="M109" si="206">+IFERROR(M108/L108-1,"nm")</f>
        <v>0.1643948957020025</v>
      </c>
      <c r="N109" s="42">
        <f t="shared" ref="N109" si="207">+IFERROR(N108/M108-1,"nm")</f>
        <v>0.16547490086769323</v>
      </c>
      <c r="P109" s="83"/>
      <c r="R109" s="79"/>
      <c r="S109" s="80"/>
      <c r="T109" s="80"/>
      <c r="U109" s="80"/>
    </row>
    <row r="110" spans="1:21" x14ac:dyDescent="0.35">
      <c r="A110" s="41" t="s">
        <v>130</v>
      </c>
      <c r="B110" s="42">
        <f t="shared" ref="B110:I110" si="208">+IFERROR(B108/B$85,"nm")</f>
        <v>0.3237691555265732</v>
      </c>
      <c r="C110" s="42">
        <f t="shared" si="208"/>
        <v>0.36248348745046233</v>
      </c>
      <c r="D110" s="42">
        <f t="shared" si="208"/>
        <v>0.35567618598064671</v>
      </c>
      <c r="E110" s="42">
        <f t="shared" si="208"/>
        <v>0.35196727697701596</v>
      </c>
      <c r="F110" s="42">
        <f t="shared" si="208"/>
        <v>0.38273195876288657</v>
      </c>
      <c r="G110" s="42">
        <f t="shared" si="208"/>
        <v>0.37281030094325496</v>
      </c>
      <c r="H110" s="42">
        <f t="shared" si="208"/>
        <v>0.39119420989143544</v>
      </c>
      <c r="I110" s="42">
        <f t="shared" si="208"/>
        <v>0.31336955081489332</v>
      </c>
      <c r="J110" s="42">
        <f>+IFERROR(J108/J85,"nm")</f>
        <v>0.34835082999582145</v>
      </c>
      <c r="K110" s="42">
        <f t="shared" ref="K110:N110" si="209">+IFERROR(K108/K85,"nm")</f>
        <v>0.34835082999582151</v>
      </c>
      <c r="L110" s="42">
        <f t="shared" si="209"/>
        <v>0.34835082999582156</v>
      </c>
      <c r="M110" s="42">
        <f t="shared" si="209"/>
        <v>0.34835082999582151</v>
      </c>
      <c r="N110" s="42">
        <f t="shared" si="209"/>
        <v>0.34835082999582151</v>
      </c>
      <c r="P110" s="83"/>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43">
        <f>+J85*J113</f>
        <v>115.62118463461218</v>
      </c>
      <c r="K111" s="43">
        <f t="shared" ref="K111:N111" si="210">+K85*K113</f>
        <v>134.35618727378107</v>
      </c>
      <c r="L111" s="43">
        <f t="shared" si="210"/>
        <v>156.28989466211257</v>
      </c>
      <c r="M111" s="43">
        <f t="shared" si="210"/>
        <v>181.98315559436753</v>
      </c>
      <c r="N111" s="43">
        <f t="shared" si="210"/>
        <v>212.09680022593551</v>
      </c>
      <c r="O111" s="1" t="s">
        <v>220</v>
      </c>
      <c r="P111" s="83"/>
    </row>
    <row r="112" spans="1:21" x14ac:dyDescent="0.35">
      <c r="A112" s="41" t="s">
        <v>128</v>
      </c>
      <c r="B112" s="42" t="str">
        <f t="shared" ref="B112:I112" si="211">+IFERROR(B111/A111-1,"nm")</f>
        <v>nm</v>
      </c>
      <c r="C112" s="42">
        <f t="shared" si="211"/>
        <v>-0.3623188405797102</v>
      </c>
      <c r="D112" s="42">
        <f t="shared" si="211"/>
        <v>0.15909090909090917</v>
      </c>
      <c r="E112" s="42">
        <f t="shared" si="211"/>
        <v>0.49019607843137258</v>
      </c>
      <c r="F112" s="42">
        <f t="shared" si="211"/>
        <v>-0.35526315789473684</v>
      </c>
      <c r="G112" s="42">
        <f t="shared" si="211"/>
        <v>-0.4285714285714286</v>
      </c>
      <c r="H112" s="42">
        <f t="shared" si="211"/>
        <v>2.3571428571428572</v>
      </c>
      <c r="I112" s="42">
        <f t="shared" si="211"/>
        <v>-0.17021276595744683</v>
      </c>
      <c r="J112" s="42">
        <f t="shared" ref="J112" si="212">+IFERROR(J111/I111-1,"nm")</f>
        <v>0.48232287993092537</v>
      </c>
      <c r="K112" s="42">
        <f>+IFERROR(K111/J111-1,"nm")</f>
        <v>0.16203780214132513</v>
      </c>
      <c r="L112" s="42">
        <f t="shared" ref="L112" si="213">+IFERROR(L111/K111-1,"nm")</f>
        <v>0.16325044520381193</v>
      </c>
      <c r="M112" s="42">
        <f t="shared" ref="M112" si="214">+IFERROR(M111/L111-1,"nm")</f>
        <v>0.1643948957020025</v>
      </c>
      <c r="N112" s="42">
        <f t="shared" ref="N112" si="215">+IFERROR(N111/M111-1,"nm")</f>
        <v>0.16547490086769323</v>
      </c>
      <c r="P112" s="83"/>
    </row>
    <row r="113" spans="1:21" x14ac:dyDescent="0.35">
      <c r="A113" s="41" t="s">
        <v>132</v>
      </c>
      <c r="B113" s="42">
        <f t="shared" ref="B113:I113" si="216">+IFERROR(B111/B$85,"nm")</f>
        <v>2.2497554613628953E-2</v>
      </c>
      <c r="C113" s="42">
        <f t="shared" si="216"/>
        <v>1.1624834874504624E-2</v>
      </c>
      <c r="D113" s="42">
        <f t="shared" si="216"/>
        <v>1.2036818503658248E-2</v>
      </c>
      <c r="E113" s="42">
        <f t="shared" si="216"/>
        <v>1.4803272302298403E-2</v>
      </c>
      <c r="F113" s="42">
        <f t="shared" si="216"/>
        <v>7.8930412371134018E-3</v>
      </c>
      <c r="G113" s="42">
        <f t="shared" si="216"/>
        <v>4.1922443479562805E-3</v>
      </c>
      <c r="H113" s="42">
        <f t="shared" si="216"/>
        <v>1.1338962605548853E-2</v>
      </c>
      <c r="I113" s="42">
        <f t="shared" si="216"/>
        <v>1.0335232542732211E-2</v>
      </c>
      <c r="J113" s="44">
        <f>AVERAGE(B113,C113,D113,E113,F113,I113)</f>
        <v>1.3198459012322639E-2</v>
      </c>
      <c r="K113" s="44">
        <f>+J113</f>
        <v>1.3198459012322639E-2</v>
      </c>
      <c r="L113" s="44">
        <f t="shared" ref="L113" si="217">+K113</f>
        <v>1.3198459012322639E-2</v>
      </c>
      <c r="M113" s="44">
        <f t="shared" ref="M113" si="218">+L113</f>
        <v>1.3198459012322639E-2</v>
      </c>
      <c r="N113" s="44">
        <f t="shared" ref="N113" si="219">+M113</f>
        <v>1.3198459012322639E-2</v>
      </c>
      <c r="P113" s="83"/>
      <c r="R113" s="79"/>
      <c r="S113" s="80"/>
      <c r="T113" s="80"/>
      <c r="U113" s="80"/>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43">
        <f>+J85*J116</f>
        <v>475.87218218989977</v>
      </c>
      <c r="K114" s="43">
        <f t="shared" ref="K114:N114" si="220">+K85*K116</f>
        <v>552.98146469214737</v>
      </c>
      <c r="L114" s="43">
        <f t="shared" si="220"/>
        <v>643.25593499259639</v>
      </c>
      <c r="M114" s="43">
        <f t="shared" si="220"/>
        <v>749.00392733539843</v>
      </c>
      <c r="N114" s="43">
        <f t="shared" si="220"/>
        <v>872.94527796073646</v>
      </c>
      <c r="O114" s="1" t="s">
        <v>220</v>
      </c>
      <c r="P114" s="83"/>
      <c r="R114" s="58"/>
      <c r="S114" s="43"/>
      <c r="T114" s="43"/>
      <c r="U114" s="43"/>
    </row>
    <row r="115" spans="1:21" x14ac:dyDescent="0.35">
      <c r="A115" s="41" t="s">
        <v>128</v>
      </c>
      <c r="B115" s="42" t="str">
        <f t="shared" ref="B115:H115" si="221">+IFERROR(B114/A114-1,"nm")</f>
        <v>nm</v>
      </c>
      <c r="C115" s="42">
        <f t="shared" si="221"/>
        <v>-7.8740157480314932E-2</v>
      </c>
      <c r="D115" s="42">
        <f t="shared" si="221"/>
        <v>-3.8461538461538436E-2</v>
      </c>
      <c r="E115" s="42">
        <f t="shared" si="221"/>
        <v>0.13777777777777778</v>
      </c>
      <c r="F115" s="42">
        <f t="shared" si="221"/>
        <v>-7.421875E-2</v>
      </c>
      <c r="G115" s="42">
        <f t="shared" si="221"/>
        <v>-9.7046413502109741E-2</v>
      </c>
      <c r="H115" s="42">
        <f t="shared" si="221"/>
        <v>0.34579439252336441</v>
      </c>
      <c r="I115" s="42">
        <f>+IFERROR(I114/H114-1,"nm")</f>
        <v>5.2083333333333259E-2</v>
      </c>
      <c r="J115" s="42">
        <f>+J116+J117</f>
        <v>5.4322047569280128E-2</v>
      </c>
      <c r="K115" s="42">
        <f t="shared" ref="K115:N115" si="222">+K116+K117</f>
        <v>5.4322047569280128E-2</v>
      </c>
      <c r="L115" s="42">
        <f t="shared" si="222"/>
        <v>5.4322047569280128E-2</v>
      </c>
      <c r="M115" s="42">
        <f t="shared" si="222"/>
        <v>5.4322047569280128E-2</v>
      </c>
      <c r="N115" s="42">
        <f t="shared" si="222"/>
        <v>5.4322047569280128E-2</v>
      </c>
      <c r="P115" s="83"/>
      <c r="R115" s="79"/>
      <c r="S115" s="73"/>
      <c r="T115" s="73"/>
      <c r="U115" s="73"/>
    </row>
    <row r="116" spans="1:21" x14ac:dyDescent="0.35">
      <c r="A116" s="41" t="s">
        <v>132</v>
      </c>
      <c r="B116" s="42">
        <f t="shared" ref="B116:I116" si="223">+IFERROR(B114/B$85,"nm")</f>
        <v>8.2817085099445714E-2</v>
      </c>
      <c r="C116" s="42">
        <f t="shared" si="223"/>
        <v>6.1822985468956405E-2</v>
      </c>
      <c r="D116" s="42">
        <f t="shared" si="223"/>
        <v>5.31036110455511E-2</v>
      </c>
      <c r="E116" s="42">
        <f t="shared" si="223"/>
        <v>4.9863654070899883E-2</v>
      </c>
      <c r="F116" s="42">
        <f t="shared" si="223"/>
        <v>3.817654639175258E-2</v>
      </c>
      <c r="G116" s="42">
        <f t="shared" si="223"/>
        <v>3.2040724659380147E-2</v>
      </c>
      <c r="H116" s="42">
        <f t="shared" si="223"/>
        <v>3.4740651387213509E-2</v>
      </c>
      <c r="I116" s="42">
        <f t="shared" si="223"/>
        <v>4.0148403339075128E-2</v>
      </c>
      <c r="J116" s="44">
        <f>AVERAGE(B116,C116,D116,E116,F116,I116)</f>
        <v>5.4322047569280128E-2</v>
      </c>
      <c r="K116" s="44">
        <f>+J116</f>
        <v>5.4322047569280128E-2</v>
      </c>
      <c r="L116" s="44">
        <f t="shared" ref="L116" si="224">+K116</f>
        <v>5.4322047569280128E-2</v>
      </c>
      <c r="M116" s="44">
        <f t="shared" ref="M116" si="225">+L116</f>
        <v>5.4322047569280128E-2</v>
      </c>
      <c r="N116" s="44">
        <f t="shared" ref="N116" si="226">+M116</f>
        <v>5.4322047569280128E-2</v>
      </c>
      <c r="P116" s="83"/>
      <c r="R116" s="79"/>
      <c r="S116" s="80"/>
      <c r="T116" s="80"/>
      <c r="U116" s="80"/>
    </row>
    <row r="117" spans="1:21" x14ac:dyDescent="0.35">
      <c r="A117" s="38" t="s">
        <v>105</v>
      </c>
      <c r="B117" s="38"/>
      <c r="C117" s="38"/>
      <c r="D117" s="38"/>
      <c r="E117" s="38"/>
      <c r="F117" s="38"/>
      <c r="G117" s="38"/>
      <c r="H117" s="38"/>
      <c r="I117" s="38"/>
      <c r="J117" s="38"/>
      <c r="K117" s="38"/>
      <c r="L117" s="38"/>
      <c r="M117" s="38"/>
      <c r="N117" s="38"/>
      <c r="P117" s="83" t="s">
        <v>230</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227">+SUM(K122+K126+K130)</f>
        <v>7609.2716999999993</v>
      </c>
      <c r="L118" s="9">
        <f t="shared" si="227"/>
        <v>8603.1736693124985</v>
      </c>
      <c r="M118" s="9">
        <f t="shared" si="227"/>
        <v>9728.0802738914063</v>
      </c>
      <c r="N118" s="9">
        <f t="shared" si="227"/>
        <v>11001.345589975781</v>
      </c>
      <c r="P118" s="83"/>
    </row>
    <row r="119" spans="1:21" x14ac:dyDescent="0.35">
      <c r="A119" s="39" t="s">
        <v>128</v>
      </c>
      <c r="B119" s="42" t="str">
        <f t="shared" ref="B119:I119" si="228">+IFERROR(B118/A118-1,"nm")</f>
        <v>nm</v>
      </c>
      <c r="C119" s="42" t="str">
        <f t="shared" si="228"/>
        <v>nm</v>
      </c>
      <c r="D119" s="42" t="str">
        <f t="shared" si="228"/>
        <v>nm</v>
      </c>
      <c r="E119" s="42" t="str">
        <f t="shared" si="228"/>
        <v>nm</v>
      </c>
      <c r="F119" s="42">
        <f t="shared" si="228"/>
        <v>1.7034456058846237E-2</v>
      </c>
      <c r="G119" s="42">
        <f t="shared" si="228"/>
        <v>-4.3014845831747195E-2</v>
      </c>
      <c r="H119" s="42">
        <f t="shared" si="228"/>
        <v>6.2649164677804237E-2</v>
      </c>
      <c r="I119" s="42">
        <f t="shared" si="228"/>
        <v>0.11454239191465465</v>
      </c>
      <c r="J119" s="42">
        <f t="shared" ref="J119" si="229">+IFERROR(J118/I118-1,"nm")</f>
        <v>0.1303198992443324</v>
      </c>
      <c r="K119" s="42">
        <f>+IFERROR(K118/J118-1,"nm")</f>
        <v>0.13047237023022396</v>
      </c>
      <c r="L119" s="42">
        <f t="shared" ref="L119" si="230">+IFERROR(L118/K118-1,"nm")</f>
        <v>0.13061722704848333</v>
      </c>
      <c r="M119" s="42">
        <f t="shared" ref="M119" si="231">+IFERROR(M118/L118-1,"nm")</f>
        <v>0.13075484092474476</v>
      </c>
      <c r="N119" s="42">
        <f t="shared" ref="N119" si="232">+IFERROR(N118/M118-1,"nm")</f>
        <v>0.13088556839951382</v>
      </c>
      <c r="P119" s="83"/>
    </row>
    <row r="120" spans="1:21" x14ac:dyDescent="0.35">
      <c r="A120" s="39" t="s">
        <v>136</v>
      </c>
      <c r="B120" s="42">
        <f>Historicals!B216</f>
        <v>0</v>
      </c>
      <c r="C120" s="42">
        <f>Historicals!C216</f>
        <v>0</v>
      </c>
      <c r="D120" s="42">
        <f>Historicals!D216</f>
        <v>0.13</v>
      </c>
      <c r="E120" s="42">
        <f>Historicals!E216</f>
        <v>0.1</v>
      </c>
      <c r="F120" s="42">
        <f>Historicals!F216</f>
        <v>0.13</v>
      </c>
      <c r="G120" s="42">
        <f>Historicals!G216</f>
        <v>0.01</v>
      </c>
      <c r="H120" s="42">
        <f>Historicals!H216</f>
        <v>0.08</v>
      </c>
      <c r="I120" s="42">
        <f>Historicals!I216</f>
        <v>0.16</v>
      </c>
      <c r="J120" s="44">
        <f>J119-J121</f>
        <v>0.1303198992443324</v>
      </c>
      <c r="K120" s="44">
        <f t="shared" ref="K120:N120" si="233">K119-K121</f>
        <v>0.13047237023022396</v>
      </c>
      <c r="L120" s="44">
        <f t="shared" si="233"/>
        <v>0.13061722704848333</v>
      </c>
      <c r="M120" s="44">
        <f t="shared" si="233"/>
        <v>0.13075484092474476</v>
      </c>
      <c r="N120" s="44">
        <f t="shared" si="233"/>
        <v>0.13088556839951382</v>
      </c>
      <c r="P120" s="83"/>
    </row>
    <row r="121" spans="1:21" x14ac:dyDescent="0.35">
      <c r="A121" s="39" t="s">
        <v>137</v>
      </c>
      <c r="B121" s="42" t="str">
        <f t="shared" ref="B121:H121" si="234">+IFERROR(B119-B120,"nm")</f>
        <v>nm</v>
      </c>
      <c r="C121" s="42" t="str">
        <f t="shared" si="234"/>
        <v>nm</v>
      </c>
      <c r="D121" s="42" t="str">
        <f t="shared" si="234"/>
        <v>nm</v>
      </c>
      <c r="E121" s="42" t="str">
        <f t="shared" si="234"/>
        <v>nm</v>
      </c>
      <c r="F121" s="42">
        <f t="shared" si="234"/>
        <v>-0.11296554394115377</v>
      </c>
      <c r="G121" s="42">
        <f t="shared" si="234"/>
        <v>-5.3014845831747197E-2</v>
      </c>
      <c r="H121" s="42">
        <f t="shared" si="234"/>
        <v>-1.7350835322195765E-2</v>
      </c>
      <c r="I121" s="42">
        <f>+IFERROR(I119-I120,"nm")</f>
        <v>-4.5457608085345352E-2</v>
      </c>
      <c r="J121" s="44">
        <v>0</v>
      </c>
      <c r="K121" s="44">
        <v>0</v>
      </c>
      <c r="L121" s="44">
        <v>0</v>
      </c>
      <c r="M121" s="44">
        <v>0</v>
      </c>
      <c r="N121" s="44">
        <v>0</v>
      </c>
      <c r="P121" s="83"/>
    </row>
    <row r="122" spans="1:21" x14ac:dyDescent="0.35">
      <c r="A122" s="40"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 si="235">+K122*(1+L123)</f>
        <v>6010.8385266249998</v>
      </c>
      <c r="M122" s="3">
        <f t="shared" ref="M122" si="236">+L122*(1+M123)</f>
        <v>6822.3017277193749</v>
      </c>
      <c r="N122" s="3">
        <f t="shared" ref="N122" si="237">+M122*(1+N123)</f>
        <v>7743.3124609614906</v>
      </c>
      <c r="O122" s="1" t="s">
        <v>223</v>
      </c>
      <c r="P122" s="83"/>
    </row>
    <row r="123" spans="1:21" x14ac:dyDescent="0.35">
      <c r="A123" s="39" t="s">
        <v>128</v>
      </c>
      <c r="B123" s="42" t="str">
        <f t="shared" ref="B123:H123" si="238">+IFERROR(B122/A122-1,"nm")</f>
        <v>nm</v>
      </c>
      <c r="C123" s="42" t="str">
        <f t="shared" si="238"/>
        <v>nm</v>
      </c>
      <c r="D123" s="42" t="str">
        <f t="shared" si="238"/>
        <v>nm</v>
      </c>
      <c r="E123" s="42" t="str">
        <f t="shared" si="238"/>
        <v>nm</v>
      </c>
      <c r="F123" s="42">
        <f t="shared" si="238"/>
        <v>1.3146853146853044E-2</v>
      </c>
      <c r="G123" s="42">
        <f t="shared" si="238"/>
        <v>-4.7763666482606326E-2</v>
      </c>
      <c r="H123" s="42">
        <f t="shared" si="238"/>
        <v>6.0887213685126174E-2</v>
      </c>
      <c r="I123" s="42">
        <f>+IFERROR(I122/H122-1,"nm")</f>
        <v>0.12353101940420874</v>
      </c>
      <c r="J123" s="42">
        <f>+J124+J125</f>
        <v>0.13500000000000001</v>
      </c>
      <c r="K123" s="42">
        <f t="shared" ref="K123:N123" si="239">+K124+K125</f>
        <v>0.13500000000000001</v>
      </c>
      <c r="L123" s="42">
        <f t="shared" si="239"/>
        <v>0.13500000000000001</v>
      </c>
      <c r="M123" s="42">
        <f t="shared" si="239"/>
        <v>0.13500000000000001</v>
      </c>
      <c r="N123" s="42">
        <f t="shared" si="239"/>
        <v>0.13500000000000001</v>
      </c>
      <c r="P123" s="83"/>
    </row>
    <row r="124" spans="1:21" x14ac:dyDescent="0.35">
      <c r="A124" s="39" t="s">
        <v>136</v>
      </c>
      <c r="B124" s="42">
        <f>Historicals!B217</f>
        <v>0</v>
      </c>
      <c r="C124" s="42">
        <f>Historicals!C217</f>
        <v>0</v>
      </c>
      <c r="D124" s="42">
        <f>Historicals!D217</f>
        <v>0.16</v>
      </c>
      <c r="E124" s="42">
        <f>Historicals!E217</f>
        <v>0.09</v>
      </c>
      <c r="F124" s="42">
        <f>Historicals!F217</f>
        <v>0.12</v>
      </c>
      <c r="G124" s="42">
        <f>Historicals!G217</f>
        <v>0</v>
      </c>
      <c r="H124" s="42">
        <f>Historicals!H217</f>
        <v>0.08</v>
      </c>
      <c r="I124" s="42">
        <f>Historicals!I217</f>
        <v>0.17</v>
      </c>
      <c r="J124" s="44">
        <f>AVERAGE(D124,E124,F124,I124)</f>
        <v>0.13500000000000001</v>
      </c>
      <c r="K124" s="44">
        <f>+J124</f>
        <v>0.13500000000000001</v>
      </c>
      <c r="L124" s="44">
        <f t="shared" ref="L124" si="240">+K124</f>
        <v>0.13500000000000001</v>
      </c>
      <c r="M124" s="44">
        <f t="shared" ref="M124" si="241">+L124</f>
        <v>0.13500000000000001</v>
      </c>
      <c r="N124" s="44">
        <f t="shared" ref="N124" si="242">+M124</f>
        <v>0.13500000000000001</v>
      </c>
      <c r="P124" s="83"/>
    </row>
    <row r="125" spans="1:21" x14ac:dyDescent="0.35">
      <c r="A125" s="39" t="s">
        <v>137</v>
      </c>
      <c r="B125" s="42" t="str">
        <f t="shared" ref="B125:H125" si="243">+IFERROR(B123-B124,"nm")</f>
        <v>nm</v>
      </c>
      <c r="C125" s="42" t="str">
        <f t="shared" si="243"/>
        <v>nm</v>
      </c>
      <c r="D125" s="42" t="str">
        <f t="shared" si="243"/>
        <v>nm</v>
      </c>
      <c r="E125" s="42" t="str">
        <f t="shared" si="243"/>
        <v>nm</v>
      </c>
      <c r="F125" s="42">
        <f t="shared" si="243"/>
        <v>-0.10685314685314695</v>
      </c>
      <c r="G125" s="42">
        <f t="shared" si="243"/>
        <v>-4.7763666482606326E-2</v>
      </c>
      <c r="H125" s="42">
        <f t="shared" si="243"/>
        <v>-1.9112786314873828E-2</v>
      </c>
      <c r="I125" s="42">
        <f>+IFERROR(I123-I124,"nm")</f>
        <v>-4.646898059579127E-2</v>
      </c>
      <c r="J125" s="44">
        <v>0</v>
      </c>
      <c r="K125" s="44">
        <v>0</v>
      </c>
      <c r="L125" s="44">
        <v>0</v>
      </c>
      <c r="M125" s="44">
        <v>0</v>
      </c>
      <c r="N125" s="44">
        <v>0</v>
      </c>
      <c r="P125" s="83"/>
    </row>
    <row r="126" spans="1:21" x14ac:dyDescent="0.35">
      <c r="A126" s="40"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 si="244">+K126*(1+L127)</f>
        <v>2307.6796892187494</v>
      </c>
      <c r="M126" s="3">
        <f t="shared" ref="M126" si="245">+L126*(1+M127)</f>
        <v>2601.9088495941401</v>
      </c>
      <c r="N126" s="3">
        <f t="shared" ref="N126" si="246">+M126*(1+N127)</f>
        <v>2933.6522279173928</v>
      </c>
      <c r="O126" s="1" t="s">
        <v>223</v>
      </c>
      <c r="P126" s="83"/>
    </row>
    <row r="127" spans="1:21" x14ac:dyDescent="0.35">
      <c r="A127" s="39" t="s">
        <v>128</v>
      </c>
      <c r="B127" s="42" t="str">
        <f t="shared" ref="B127:H127" si="247">+IFERROR(B126/A126-1,"nm")</f>
        <v>nm</v>
      </c>
      <c r="C127" s="42" t="str">
        <f t="shared" si="247"/>
        <v>nm</v>
      </c>
      <c r="D127" s="42" t="str">
        <f t="shared" si="247"/>
        <v>nm</v>
      </c>
      <c r="E127" s="42" t="str">
        <f t="shared" si="247"/>
        <v>nm</v>
      </c>
      <c r="F127" s="42">
        <f t="shared" si="247"/>
        <v>3.563474387527843E-2</v>
      </c>
      <c r="G127" s="42">
        <f t="shared" si="247"/>
        <v>-2.1505376344086002E-2</v>
      </c>
      <c r="H127" s="42">
        <f t="shared" si="247"/>
        <v>9.4505494505494614E-2</v>
      </c>
      <c r="I127" s="42">
        <f>+IFERROR(I126/H126-1,"nm")</f>
        <v>7.7643908969210251E-2</v>
      </c>
      <c r="J127" s="42">
        <f>+J128+J129</f>
        <v>0.1275</v>
      </c>
      <c r="K127" s="42">
        <f t="shared" ref="K127:N127" si="248">+K128+K129</f>
        <v>0.1275</v>
      </c>
      <c r="L127" s="42">
        <f t="shared" si="248"/>
        <v>0.1275</v>
      </c>
      <c r="M127" s="42">
        <f t="shared" si="248"/>
        <v>0.1275</v>
      </c>
      <c r="N127" s="42">
        <f t="shared" si="248"/>
        <v>0.1275</v>
      </c>
      <c r="P127" s="83"/>
    </row>
    <row r="128" spans="1:21" x14ac:dyDescent="0.35">
      <c r="A128" s="39" t="s">
        <v>136</v>
      </c>
      <c r="B128" s="42">
        <f>Historicals!B218</f>
        <v>0</v>
      </c>
      <c r="C128" s="42">
        <f>Historicals!C218</f>
        <v>0</v>
      </c>
      <c r="D128" s="42">
        <f>Historicals!D218</f>
        <v>0.09</v>
      </c>
      <c r="E128" s="42">
        <f>Historicals!E218</f>
        <v>0.15</v>
      </c>
      <c r="F128" s="42">
        <f>Historicals!F218</f>
        <v>0.15</v>
      </c>
      <c r="G128" s="42">
        <f>Historicals!G218</f>
        <v>0.03</v>
      </c>
      <c r="H128" s="42">
        <f>Historicals!H218</f>
        <v>0.19</v>
      </c>
      <c r="I128" s="42">
        <f>Historicals!I218</f>
        <v>0.12</v>
      </c>
      <c r="J128" s="44">
        <f>AVERAGE(D128,E128,F128,I128)</f>
        <v>0.1275</v>
      </c>
      <c r="K128" s="44">
        <f>+J128</f>
        <v>0.1275</v>
      </c>
      <c r="L128" s="44">
        <f t="shared" ref="L128" si="249">+K128</f>
        <v>0.1275</v>
      </c>
      <c r="M128" s="44">
        <f t="shared" ref="M128" si="250">+L128</f>
        <v>0.1275</v>
      </c>
      <c r="N128" s="44">
        <f t="shared" ref="N128" si="251">+M128</f>
        <v>0.1275</v>
      </c>
      <c r="P128" s="83"/>
    </row>
    <row r="129" spans="1:21" x14ac:dyDescent="0.35">
      <c r="A129" s="39" t="s">
        <v>137</v>
      </c>
      <c r="B129" s="42" t="str">
        <f t="shared" ref="B129:H129" si="252">+IFERROR(B127-B128,"nm")</f>
        <v>nm</v>
      </c>
      <c r="C129" s="42" t="str">
        <f t="shared" si="252"/>
        <v>nm</v>
      </c>
      <c r="D129" s="42" t="str">
        <f t="shared" si="252"/>
        <v>nm</v>
      </c>
      <c r="E129" s="42" t="str">
        <f t="shared" si="252"/>
        <v>nm</v>
      </c>
      <c r="F129" s="42">
        <f t="shared" si="252"/>
        <v>-0.11436525612472156</v>
      </c>
      <c r="G129" s="42">
        <f t="shared" si="252"/>
        <v>-5.1505376344086001E-2</v>
      </c>
      <c r="H129" s="42">
        <f t="shared" si="252"/>
        <v>-9.5494505494505388E-2</v>
      </c>
      <c r="I129" s="42">
        <f>+IFERROR(I127-I128,"nm")</f>
        <v>-4.2356091030789744E-2</v>
      </c>
      <c r="J129" s="44">
        <v>0</v>
      </c>
      <c r="K129" s="44">
        <v>0</v>
      </c>
      <c r="L129" s="44">
        <v>0</v>
      </c>
      <c r="M129" s="44">
        <v>0</v>
      </c>
      <c r="N129" s="44">
        <v>0</v>
      </c>
      <c r="P129" s="83"/>
    </row>
    <row r="130" spans="1:21" x14ac:dyDescent="0.35">
      <c r="A130" s="40" t="s">
        <v>114</v>
      </c>
      <c r="B130" s="3">
        <f t="shared" ref="B130:I130" si="253">B118-B122-B126</f>
        <v>0</v>
      </c>
      <c r="C130" s="3">
        <f t="shared" si="253"/>
        <v>0</v>
      </c>
      <c r="D130" s="3">
        <f t="shared" si="253"/>
        <v>0</v>
      </c>
      <c r="E130" s="3">
        <f t="shared" si="253"/>
        <v>244</v>
      </c>
      <c r="F130" s="3">
        <f t="shared" si="253"/>
        <v>237</v>
      </c>
      <c r="G130" s="3">
        <f t="shared" si="253"/>
        <v>214</v>
      </c>
      <c r="H130" s="3">
        <f t="shared" si="253"/>
        <v>190</v>
      </c>
      <c r="I130" s="3">
        <f t="shared" si="253"/>
        <v>234</v>
      </c>
      <c r="J130" s="3">
        <f>+I130*(1+J131)</f>
        <v>249.79499999999999</v>
      </c>
      <c r="K130" s="3">
        <f>+J130*(1+K131)</f>
        <v>266.65616249999994</v>
      </c>
      <c r="L130" s="3">
        <f t="shared" ref="L130" si="254">+K130*(1+L131)</f>
        <v>284.6554534687499</v>
      </c>
      <c r="M130" s="3">
        <f t="shared" ref="M130" si="255">+L130*(1+M131)</f>
        <v>303.86969657789047</v>
      </c>
      <c r="N130" s="3">
        <f t="shared" ref="N130" si="256">+M130*(1+N131)</f>
        <v>324.38090109689801</v>
      </c>
      <c r="O130" s="1" t="s">
        <v>223</v>
      </c>
      <c r="P130" s="83"/>
    </row>
    <row r="131" spans="1:21" x14ac:dyDescent="0.35">
      <c r="A131" s="39" t="s">
        <v>128</v>
      </c>
      <c r="B131" s="42" t="str">
        <f t="shared" ref="B131:H131" si="257">+IFERROR(B130/A130-1,"nm")</f>
        <v>nm</v>
      </c>
      <c r="C131" s="42" t="str">
        <f t="shared" si="257"/>
        <v>nm</v>
      </c>
      <c r="D131" s="42" t="str">
        <f t="shared" si="257"/>
        <v>nm</v>
      </c>
      <c r="E131" s="42" t="str">
        <f t="shared" si="257"/>
        <v>nm</v>
      </c>
      <c r="F131" s="42">
        <f t="shared" si="257"/>
        <v>-2.8688524590163911E-2</v>
      </c>
      <c r="G131" s="42">
        <f t="shared" si="257"/>
        <v>-9.7046413502109741E-2</v>
      </c>
      <c r="H131" s="42">
        <f t="shared" si="257"/>
        <v>-0.11214953271028039</v>
      </c>
      <c r="I131" s="42">
        <f>+IFERROR(I130/H130-1,"nm")</f>
        <v>0.23157894736842111</v>
      </c>
      <c r="J131" s="42">
        <f>+J132+J133</f>
        <v>6.7500000000000004E-2</v>
      </c>
      <c r="K131" s="42">
        <f t="shared" ref="K131:N131" si="258">+K132+K133</f>
        <v>6.7500000000000004E-2</v>
      </c>
      <c r="L131" s="42">
        <f t="shared" si="258"/>
        <v>6.7500000000000004E-2</v>
      </c>
      <c r="M131" s="42">
        <f t="shared" si="258"/>
        <v>6.7500000000000004E-2</v>
      </c>
      <c r="N131" s="42">
        <f t="shared" si="258"/>
        <v>6.7500000000000004E-2</v>
      </c>
      <c r="P131" s="83"/>
    </row>
    <row r="132" spans="1:21" x14ac:dyDescent="0.35">
      <c r="A132" s="39" t="s">
        <v>136</v>
      </c>
      <c r="B132" s="42">
        <f>Historicals!B219</f>
        <v>0</v>
      </c>
      <c r="C132" s="42">
        <f>Historicals!C219</f>
        <v>0</v>
      </c>
      <c r="D132" s="42">
        <f>Historicals!D219</f>
        <v>-0.01</v>
      </c>
      <c r="E132" s="42">
        <f>Historicals!E219</f>
        <v>-0.08</v>
      </c>
      <c r="F132" s="42">
        <f>Historicals!F219</f>
        <v>0.08</v>
      </c>
      <c r="G132" s="42">
        <f>Historicals!G219</f>
        <v>-0.04</v>
      </c>
      <c r="H132" s="42">
        <f>Historicals!H219</f>
        <v>-0.09</v>
      </c>
      <c r="I132" s="42">
        <f>Historicals!I219</f>
        <v>0.28000000000000003</v>
      </c>
      <c r="J132" s="44">
        <f>AVERAGE(D132,E132,F132,I132)</f>
        <v>6.7500000000000004E-2</v>
      </c>
      <c r="K132" s="44">
        <f>+J132</f>
        <v>6.7500000000000004E-2</v>
      </c>
      <c r="L132" s="44">
        <f t="shared" ref="L132" si="259">+K132</f>
        <v>6.7500000000000004E-2</v>
      </c>
      <c r="M132" s="44">
        <f t="shared" ref="M132" si="260">+L132</f>
        <v>6.7500000000000004E-2</v>
      </c>
      <c r="N132" s="44">
        <f t="shared" ref="N132" si="261">+M132</f>
        <v>6.7500000000000004E-2</v>
      </c>
      <c r="P132" s="83"/>
    </row>
    <row r="133" spans="1:21" x14ac:dyDescent="0.35">
      <c r="A133" s="39" t="s">
        <v>137</v>
      </c>
      <c r="B133" s="42" t="str">
        <f t="shared" ref="B133:H133" si="262">+IFERROR(B131-B132,"nm")</f>
        <v>nm</v>
      </c>
      <c r="C133" s="42" t="str">
        <f t="shared" si="262"/>
        <v>nm</v>
      </c>
      <c r="D133" s="42" t="str">
        <f t="shared" si="262"/>
        <v>nm</v>
      </c>
      <c r="E133" s="42" t="str">
        <f t="shared" si="262"/>
        <v>nm</v>
      </c>
      <c r="F133" s="42">
        <f t="shared" si="262"/>
        <v>-0.10868852459016391</v>
      </c>
      <c r="G133" s="42">
        <f t="shared" si="262"/>
        <v>-5.704641350210974E-2</v>
      </c>
      <c r="H133" s="42">
        <f t="shared" si="262"/>
        <v>-2.214953271028039E-2</v>
      </c>
      <c r="I133" s="42">
        <f>+IFERROR(I131-I132,"nm")</f>
        <v>-4.842105263157892E-2</v>
      </c>
      <c r="J133" s="44">
        <v>0</v>
      </c>
      <c r="K133" s="44">
        <v>0</v>
      </c>
      <c r="L133" s="44">
        <v>0</v>
      </c>
      <c r="M133" s="44">
        <v>0</v>
      </c>
      <c r="N133" s="44">
        <v>0</v>
      </c>
      <c r="P133" s="83"/>
    </row>
    <row r="134" spans="1:21" x14ac:dyDescent="0.35">
      <c r="A134" s="9" t="s">
        <v>129</v>
      </c>
      <c r="B134" s="43">
        <f t="shared" ref="B134:I134" si="263">+B141+B137</f>
        <v>0</v>
      </c>
      <c r="C134" s="43">
        <f t="shared" si="263"/>
        <v>42</v>
      </c>
      <c r="D134" s="43">
        <f t="shared" si="263"/>
        <v>54</v>
      </c>
      <c r="E134" s="43">
        <f t="shared" si="263"/>
        <v>1244</v>
      </c>
      <c r="F134" s="43">
        <f t="shared" si="263"/>
        <v>1376</v>
      </c>
      <c r="G134" s="43">
        <f t="shared" si="263"/>
        <v>1230</v>
      </c>
      <c r="H134" s="43">
        <f t="shared" si="263"/>
        <v>1573</v>
      </c>
      <c r="I134" s="43">
        <f t="shared" si="263"/>
        <v>1938</v>
      </c>
      <c r="J134" s="43">
        <f>+J118*J136</f>
        <v>1858.0892666755872</v>
      </c>
      <c r="K134" s="43">
        <f t="shared" ref="K134:N134" si="264">+K118*K136</f>
        <v>2100.5185773980897</v>
      </c>
      <c r="L134" s="43">
        <f t="shared" si="264"/>
        <v>2374.8824893416531</v>
      </c>
      <c r="M134" s="43">
        <f t="shared" si="264"/>
        <v>2685.409871450483</v>
      </c>
      <c r="N134" s="43">
        <f t="shared" si="264"/>
        <v>3036.8912688609448</v>
      </c>
      <c r="O134" s="1" t="s">
        <v>222</v>
      </c>
      <c r="P134" s="83"/>
      <c r="R134" s="58"/>
      <c r="S134" s="43"/>
      <c r="T134" s="43"/>
      <c r="U134" s="43"/>
    </row>
    <row r="135" spans="1:21" x14ac:dyDescent="0.35">
      <c r="A135" s="41" t="s">
        <v>128</v>
      </c>
      <c r="B135" s="42" t="str">
        <f t="shared" ref="B135:I135" si="265">+IFERROR(B134/A134-1,"nm")</f>
        <v>nm</v>
      </c>
      <c r="C135" s="42" t="str">
        <f t="shared" si="265"/>
        <v>nm</v>
      </c>
      <c r="D135" s="42">
        <f t="shared" si="265"/>
        <v>0.28571428571428581</v>
      </c>
      <c r="E135" s="42">
        <f t="shared" si="265"/>
        <v>22.037037037037038</v>
      </c>
      <c r="F135" s="42">
        <f t="shared" si="265"/>
        <v>0.10610932475884249</v>
      </c>
      <c r="G135" s="42">
        <f t="shared" si="265"/>
        <v>-0.10610465116279066</v>
      </c>
      <c r="H135" s="42">
        <f t="shared" si="265"/>
        <v>0.27886178861788613</v>
      </c>
      <c r="I135" s="42">
        <f t="shared" si="265"/>
        <v>0.23204068658614108</v>
      </c>
      <c r="J135" s="42">
        <f t="shared" ref="J135" si="266">+IFERROR(J134/I134-1,"nm")</f>
        <v>-4.1233608526528798E-2</v>
      </c>
      <c r="K135" s="42">
        <f>+IFERROR(K134/J134-1,"nm")</f>
        <v>0.13047237023022396</v>
      </c>
      <c r="L135" s="42">
        <f t="shared" ref="L135" si="267">+IFERROR(L134/K134-1,"nm")</f>
        <v>0.13061722704848333</v>
      </c>
      <c r="M135" s="42">
        <f t="shared" ref="M135" si="268">+IFERROR(M134/L134-1,"nm")</f>
        <v>0.13075484092474476</v>
      </c>
      <c r="N135" s="42">
        <f t="shared" ref="N135" si="269">+IFERROR(N134/M134-1,"nm")</f>
        <v>0.13088556839951382</v>
      </c>
      <c r="P135" s="83"/>
      <c r="R135" s="79"/>
      <c r="S135" s="73"/>
      <c r="T135" s="73"/>
      <c r="U135" s="73"/>
    </row>
    <row r="136" spans="1:21" x14ac:dyDescent="0.35">
      <c r="A136" s="41" t="s">
        <v>130</v>
      </c>
      <c r="B136" s="42" t="str">
        <f t="shared" ref="B136:I136" si="270">+IFERROR(B134/B$118,"nm")</f>
        <v>nm</v>
      </c>
      <c r="C136" s="42" t="str">
        <f t="shared" si="270"/>
        <v>nm</v>
      </c>
      <c r="D136" s="42" t="str">
        <f t="shared" si="270"/>
        <v>nm</v>
      </c>
      <c r="E136" s="42">
        <f t="shared" si="270"/>
        <v>0.2408052651955091</v>
      </c>
      <c r="F136" s="42">
        <f t="shared" si="270"/>
        <v>0.26189569851541683</v>
      </c>
      <c r="G136" s="42">
        <f t="shared" si="270"/>
        <v>0.24463007159904535</v>
      </c>
      <c r="H136" s="42">
        <f t="shared" si="270"/>
        <v>0.2944038929440389</v>
      </c>
      <c r="I136" s="42">
        <f t="shared" si="270"/>
        <v>0.32544080604534004</v>
      </c>
      <c r="J136" s="44">
        <f>AVERAGE(E136,F136,I136)</f>
        <v>0.27604725658542195</v>
      </c>
      <c r="K136" s="44">
        <f>+J136</f>
        <v>0.27604725658542195</v>
      </c>
      <c r="L136" s="44">
        <f t="shared" ref="L136" si="271">+K136</f>
        <v>0.27604725658542195</v>
      </c>
      <c r="M136" s="44">
        <f t="shared" ref="M136" si="272">+L136</f>
        <v>0.27604725658542195</v>
      </c>
      <c r="N136" s="44">
        <f t="shared" ref="N136" si="273">+M136</f>
        <v>0.27604725658542195</v>
      </c>
      <c r="P136" s="83"/>
      <c r="R136" s="79"/>
      <c r="S136" s="80"/>
      <c r="T136" s="80"/>
      <c r="U136" s="80"/>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43">
        <f>+J140*J147</f>
        <v>62.050306760949788</v>
      </c>
      <c r="K137" s="43">
        <f t="shared" ref="K137:N137" si="274">+K140*K147</f>
        <v>70.146157357563396</v>
      </c>
      <c r="L137" s="43">
        <f t="shared" si="274"/>
        <v>79.308453919714893</v>
      </c>
      <c r="M137" s="43">
        <f t="shared" si="274"/>
        <v>89.678418195974658</v>
      </c>
      <c r="N137" s="43">
        <f t="shared" si="274"/>
        <v>101.41602893472411</v>
      </c>
      <c r="O137" s="1" t="s">
        <v>221</v>
      </c>
      <c r="P137" s="83"/>
      <c r="R137" s="58"/>
      <c r="S137" s="43"/>
      <c r="T137" s="43"/>
      <c r="U137" s="43"/>
    </row>
    <row r="138" spans="1:21" x14ac:dyDescent="0.35">
      <c r="A138" s="41" t="s">
        <v>128</v>
      </c>
      <c r="B138" s="42" t="str">
        <f t="shared" ref="B138:I138" si="275">+IFERROR(B137/A137-1,"nm")</f>
        <v>nm</v>
      </c>
      <c r="C138" s="42" t="str">
        <f t="shared" si="275"/>
        <v>nm</v>
      </c>
      <c r="D138" s="42">
        <f t="shared" si="275"/>
        <v>0.28571428571428581</v>
      </c>
      <c r="E138" s="42">
        <f t="shared" si="275"/>
        <v>1.8518518518518601E-2</v>
      </c>
      <c r="F138" s="42">
        <f t="shared" si="275"/>
        <v>-3.6363636363636376E-2</v>
      </c>
      <c r="G138" s="42">
        <f t="shared" si="275"/>
        <v>-0.13207547169811318</v>
      </c>
      <c r="H138" s="42">
        <f t="shared" si="275"/>
        <v>-6.5217391304347783E-2</v>
      </c>
      <c r="I138" s="42">
        <f t="shared" si="275"/>
        <v>-2.3255813953488413E-2</v>
      </c>
      <c r="J138" s="42">
        <f t="shared" ref="J138" si="276">+IFERROR(J137/I137-1,"nm")</f>
        <v>0.47738825621309022</v>
      </c>
      <c r="K138" s="42">
        <f>+IFERROR(K137/J137-1,"nm")</f>
        <v>0.13047237023022396</v>
      </c>
      <c r="L138" s="42">
        <f t="shared" ref="L138" si="277">+IFERROR(L137/K137-1,"nm")</f>
        <v>0.13061722704848333</v>
      </c>
      <c r="M138" s="42">
        <f t="shared" ref="M138" si="278">+IFERROR(M137/L137-1,"nm")</f>
        <v>0.13075484092474476</v>
      </c>
      <c r="N138" s="42">
        <f t="shared" ref="N138" si="279">+IFERROR(N137/M137-1,"nm")</f>
        <v>0.13088556839951382</v>
      </c>
      <c r="P138" s="83"/>
      <c r="R138" s="79"/>
      <c r="S138" s="73"/>
      <c r="T138" s="73"/>
      <c r="U138" s="73"/>
    </row>
    <row r="139" spans="1:21" x14ac:dyDescent="0.35">
      <c r="A139" s="41" t="s">
        <v>132</v>
      </c>
      <c r="B139" s="42" t="str">
        <f t="shared" ref="B139:I139" si="280">+IFERROR(B137/B$118,"nm")</f>
        <v>nm</v>
      </c>
      <c r="C139" s="42" t="str">
        <f t="shared" si="280"/>
        <v>nm</v>
      </c>
      <c r="D139" s="42" t="str">
        <f t="shared" si="280"/>
        <v>nm</v>
      </c>
      <c r="E139" s="42">
        <f t="shared" si="280"/>
        <v>1.064653503677894E-2</v>
      </c>
      <c r="F139" s="42">
        <f t="shared" si="280"/>
        <v>1.0087552341073468E-2</v>
      </c>
      <c r="G139" s="42">
        <f t="shared" si="280"/>
        <v>9.148766905330152E-3</v>
      </c>
      <c r="H139" s="42">
        <f t="shared" si="280"/>
        <v>8.0479131574022079E-3</v>
      </c>
      <c r="I139" s="42">
        <f t="shared" si="280"/>
        <v>7.0528967254408059E-3</v>
      </c>
      <c r="J139" s="42">
        <f>+IFERROR(J137/J118,"nm")</f>
        <v>9.2185113271173371E-3</v>
      </c>
      <c r="K139" s="42">
        <f t="shared" ref="K139:N139" si="281">+IFERROR(K137/K$52,"nm")</f>
        <v>4.5729124713417809E-3</v>
      </c>
      <c r="L139" s="42">
        <f t="shared" si="281"/>
        <v>4.6589105267875871E-3</v>
      </c>
      <c r="M139" s="42">
        <f t="shared" si="281"/>
        <v>4.7440824235396315E-3</v>
      </c>
      <c r="N139" s="42">
        <f t="shared" si="281"/>
        <v>4.8282649928522003E-3</v>
      </c>
      <c r="P139" s="83"/>
      <c r="R139" s="79"/>
      <c r="S139" s="73"/>
      <c r="T139" s="73"/>
      <c r="U139" s="73"/>
    </row>
    <row r="140" spans="1:21" x14ac:dyDescent="0.35">
      <c r="A140" s="41" t="s">
        <v>139</v>
      </c>
      <c r="B140" s="42" t="str">
        <f t="shared" ref="B140:I140" si="282">+IFERROR(B137/B147,"nm")</f>
        <v>nm</v>
      </c>
      <c r="C140" s="42" t="str">
        <f t="shared" si="282"/>
        <v>nm</v>
      </c>
      <c r="D140" s="42">
        <f t="shared" si="282"/>
        <v>0.1588235294117647</v>
      </c>
      <c r="E140" s="42">
        <f t="shared" si="282"/>
        <v>0.16224188790560473</v>
      </c>
      <c r="F140" s="42">
        <f t="shared" si="282"/>
        <v>0.16257668711656442</v>
      </c>
      <c r="G140" s="42">
        <f t="shared" si="282"/>
        <v>0.1554054054054054</v>
      </c>
      <c r="H140" s="42">
        <f t="shared" si="282"/>
        <v>0.14144736842105263</v>
      </c>
      <c r="I140" s="42">
        <f t="shared" si="282"/>
        <v>0.15328467153284672</v>
      </c>
      <c r="J140" s="44">
        <f>AVERAGE(D140,E140,F140,I140)</f>
        <v>0.15923169399169515</v>
      </c>
      <c r="K140" s="44">
        <f>+J140</f>
        <v>0.15923169399169515</v>
      </c>
      <c r="L140" s="44">
        <f t="shared" ref="L140" si="283">+K140</f>
        <v>0.15923169399169515</v>
      </c>
      <c r="M140" s="44">
        <f t="shared" ref="M140" si="284">+L140</f>
        <v>0.15923169399169515</v>
      </c>
      <c r="N140" s="44">
        <f t="shared" ref="N140" si="285">+M140</f>
        <v>0.15923169399169515</v>
      </c>
      <c r="P140" s="83"/>
      <c r="R140" s="79"/>
      <c r="S140" s="80"/>
      <c r="T140" s="80"/>
      <c r="U140" s="80"/>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+J134-J137</f>
        <v>1796.0389599146374</v>
      </c>
      <c r="K141" s="9">
        <f t="shared" ref="K141:N141" si="286">+K134-K137</f>
        <v>2030.3724200405263</v>
      </c>
      <c r="L141" s="9">
        <f t="shared" si="286"/>
        <v>2295.5740354219383</v>
      </c>
      <c r="M141" s="9">
        <f t="shared" si="286"/>
        <v>2595.7314532545083</v>
      </c>
      <c r="N141" s="9">
        <f t="shared" si="286"/>
        <v>2935.4752399262206</v>
      </c>
      <c r="O141" s="1" t="s">
        <v>216</v>
      </c>
      <c r="P141" s="83"/>
    </row>
    <row r="142" spans="1:21" x14ac:dyDescent="0.35">
      <c r="A142" s="41" t="s">
        <v>128</v>
      </c>
      <c r="B142" s="42" t="str">
        <f t="shared" ref="B142:I142" si="287">+IFERROR(B141/A141-1,"nm")</f>
        <v>nm</v>
      </c>
      <c r="C142" s="42" t="str">
        <f t="shared" si="287"/>
        <v>nm</v>
      </c>
      <c r="D142" s="42" t="str">
        <f t="shared" si="287"/>
        <v>nm</v>
      </c>
      <c r="E142" s="42" t="str">
        <f t="shared" si="287"/>
        <v>nm</v>
      </c>
      <c r="F142" s="42">
        <f t="shared" si="287"/>
        <v>0.11269974768713209</v>
      </c>
      <c r="G142" s="42">
        <f t="shared" si="287"/>
        <v>-0.1050642479213908</v>
      </c>
      <c r="H142" s="42">
        <f t="shared" si="287"/>
        <v>0.29222972972972983</v>
      </c>
      <c r="I142" s="42">
        <f t="shared" si="287"/>
        <v>0.23921568627450984</v>
      </c>
      <c r="J142" s="42">
        <f t="shared" ref="J142" si="288">+IFERROR(J141/I141-1,"nm")</f>
        <v>-5.2722067555570962E-2</v>
      </c>
      <c r="K142" s="42">
        <f>+IFERROR(K141/J141-1,"nm")</f>
        <v>0.13047237023022396</v>
      </c>
      <c r="L142" s="42">
        <f t="shared" ref="L142" si="289">+IFERROR(L141/K141-1,"nm")</f>
        <v>0.13061722704848333</v>
      </c>
      <c r="M142" s="42">
        <f t="shared" ref="M142" si="290">+IFERROR(M141/L141-1,"nm")</f>
        <v>0.13075484092474476</v>
      </c>
      <c r="N142" s="42">
        <f t="shared" ref="N142" si="291">+IFERROR(N141/M141-1,"nm")</f>
        <v>0.13088556839951382</v>
      </c>
      <c r="P142" s="83"/>
    </row>
    <row r="143" spans="1:21" x14ac:dyDescent="0.35">
      <c r="A143" s="41" t="s">
        <v>130</v>
      </c>
      <c r="B143" s="42" t="str">
        <f t="shared" ref="B143:I143" si="292">+IFERROR(B141/B$118,"nm")</f>
        <v>nm</v>
      </c>
      <c r="C143" s="42" t="str">
        <f t="shared" si="292"/>
        <v>nm</v>
      </c>
      <c r="D143" s="42" t="str">
        <f t="shared" si="292"/>
        <v>nm</v>
      </c>
      <c r="E143" s="42">
        <f t="shared" si="292"/>
        <v>0.23015873015873015</v>
      </c>
      <c r="F143" s="42">
        <f t="shared" si="292"/>
        <v>0.25180814617434338</v>
      </c>
      <c r="G143" s="42">
        <f t="shared" si="292"/>
        <v>0.2354813046937152</v>
      </c>
      <c r="H143" s="42">
        <f t="shared" si="292"/>
        <v>0.28635597978663674</v>
      </c>
      <c r="I143" s="42">
        <f t="shared" si="292"/>
        <v>0.31838790931989924</v>
      </c>
      <c r="J143" s="42">
        <f>+IFERROR(J141/J118,"nm")</f>
        <v>0.26682874525830463</v>
      </c>
      <c r="K143" s="42">
        <f t="shared" ref="K143:N143" si="293">+IFERROR(K141/K118,"nm")</f>
        <v>0.26682874525830463</v>
      </c>
      <c r="L143" s="42">
        <f t="shared" si="293"/>
        <v>0.26682874525830458</v>
      </c>
      <c r="M143" s="42">
        <f t="shared" si="293"/>
        <v>0.26682874525830463</v>
      </c>
      <c r="N143" s="42">
        <f t="shared" si="293"/>
        <v>0.26682874525830463</v>
      </c>
      <c r="P143" s="83"/>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43">
        <f>+J118*J146</f>
        <v>62.451900469863986</v>
      </c>
      <c r="K144" s="43">
        <f t="shared" ref="K144:N144" si="294">+K118*K146</f>
        <v>70.600147949549168</v>
      </c>
      <c r="L144" s="43">
        <f t="shared" si="294"/>
        <v>79.821743503931955</v>
      </c>
      <c r="M144" s="43">
        <f t="shared" si="294"/>
        <v>90.258822878124349</v>
      </c>
      <c r="N144" s="43">
        <f t="shared" si="294"/>
        <v>102.0724002135987</v>
      </c>
      <c r="O144" s="1" t="s">
        <v>224</v>
      </c>
      <c r="P144" s="83"/>
      <c r="R144" s="58"/>
      <c r="S144" s="43"/>
      <c r="T144" s="43"/>
      <c r="U144" s="43"/>
    </row>
    <row r="145" spans="1:21" x14ac:dyDescent="0.35">
      <c r="A145" s="41" t="s">
        <v>128</v>
      </c>
      <c r="B145" s="42" t="str">
        <f t="shared" ref="B145:I145" si="295">+IFERROR(B144/A144-1,"nm")</f>
        <v>nm</v>
      </c>
      <c r="C145" s="42" t="str">
        <f t="shared" si="295"/>
        <v>nm</v>
      </c>
      <c r="D145" s="42">
        <f t="shared" si="295"/>
        <v>-4.8387096774193505E-2</v>
      </c>
      <c r="E145" s="42">
        <f t="shared" si="295"/>
        <v>-0.16949152542372881</v>
      </c>
      <c r="F145" s="42">
        <f t="shared" si="295"/>
        <v>-4.081632653061229E-2</v>
      </c>
      <c r="G145" s="42">
        <f t="shared" si="295"/>
        <v>-0.12765957446808507</v>
      </c>
      <c r="H145" s="42">
        <f t="shared" si="295"/>
        <v>0.31707317073170738</v>
      </c>
      <c r="I145" s="42">
        <f t="shared" si="295"/>
        <v>3.7037037037036979E-2</v>
      </c>
      <c r="J145" s="42">
        <f t="shared" ref="J145" si="296">+IFERROR(J144/I144-1,"nm")</f>
        <v>0.11521250839042829</v>
      </c>
      <c r="K145" s="42">
        <f>+IFERROR(K144/J144-1,"nm")</f>
        <v>0.13047237023022373</v>
      </c>
      <c r="L145" s="42">
        <f t="shared" ref="L145" si="297">+IFERROR(L144/K144-1,"nm")</f>
        <v>0.13061722704848355</v>
      </c>
      <c r="M145" s="42">
        <f t="shared" ref="M145" si="298">+IFERROR(M144/L144-1,"nm")</f>
        <v>0.13075484092474476</v>
      </c>
      <c r="N145" s="42">
        <f t="shared" ref="N145" si="299">+IFERROR(N144/M144-1,"nm")</f>
        <v>0.13088556839951382</v>
      </c>
      <c r="P145" s="83"/>
      <c r="R145" s="79"/>
      <c r="S145" s="73"/>
      <c r="T145" s="73"/>
      <c r="U145" s="73"/>
    </row>
    <row r="146" spans="1:21" x14ac:dyDescent="0.35">
      <c r="A146" s="41" t="s">
        <v>132</v>
      </c>
      <c r="B146" s="42" t="str">
        <f t="shared" ref="B146:I146" si="300">+IFERROR(B144/B$118,"nm")</f>
        <v>nm</v>
      </c>
      <c r="C146" s="42" t="str">
        <f t="shared" si="300"/>
        <v>nm</v>
      </c>
      <c r="D146" s="42" t="str">
        <f t="shared" si="300"/>
        <v>nm</v>
      </c>
      <c r="E146" s="42">
        <f t="shared" si="300"/>
        <v>9.485094850948509E-3</v>
      </c>
      <c r="F146" s="42">
        <f t="shared" si="300"/>
        <v>8.9455652835934533E-3</v>
      </c>
      <c r="G146" s="42">
        <f t="shared" si="300"/>
        <v>8.1543357199681775E-3</v>
      </c>
      <c r="H146" s="42">
        <f t="shared" si="300"/>
        <v>1.0106681639528355E-2</v>
      </c>
      <c r="I146" s="42">
        <f t="shared" si="300"/>
        <v>9.4038623005877411E-3</v>
      </c>
      <c r="J146" s="44">
        <f>AVERAGE(E146,F146,I146)</f>
        <v>9.2781741450432345E-3</v>
      </c>
      <c r="K146" s="44">
        <f>+J146</f>
        <v>9.2781741450432345E-3</v>
      </c>
      <c r="L146" s="44">
        <f t="shared" ref="L146" si="301">+K146</f>
        <v>9.2781741450432345E-3</v>
      </c>
      <c r="M146" s="44">
        <f t="shared" ref="M146" si="302">+L146</f>
        <v>9.2781741450432345E-3</v>
      </c>
      <c r="N146" s="44">
        <f t="shared" ref="N146" si="303">+M146</f>
        <v>9.2781741450432345E-3</v>
      </c>
      <c r="P146" s="83"/>
      <c r="R146" s="79"/>
      <c r="S146" s="80"/>
      <c r="T146" s="80"/>
      <c r="U146" s="80"/>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43">
        <f>+J118*J149</f>
        <v>389.68565368767645</v>
      </c>
      <c r="K147" s="43">
        <f t="shared" ref="K147:N147" si="304">+K118*K149</f>
        <v>440.52886456902183</v>
      </c>
      <c r="L147" s="43">
        <f t="shared" si="304"/>
        <v>498.06952329384433</v>
      </c>
      <c r="M147" s="43">
        <f t="shared" si="304"/>
        <v>563.19452458159435</v>
      </c>
      <c r="N147" s="43">
        <f t="shared" si="304"/>
        <v>636.90856005095031</v>
      </c>
      <c r="O147" s="1" t="s">
        <v>224</v>
      </c>
      <c r="P147" s="83"/>
      <c r="R147" s="58"/>
      <c r="S147" s="43"/>
      <c r="T147" s="43"/>
      <c r="U147" s="43"/>
    </row>
    <row r="148" spans="1:21" x14ac:dyDescent="0.35">
      <c r="A148" s="41" t="s">
        <v>128</v>
      </c>
      <c r="B148" s="42" t="str">
        <f t="shared" ref="B148:H148" si="305">+IFERROR(B147/A147-1,"nm")</f>
        <v>nm</v>
      </c>
      <c r="C148" s="42" t="str">
        <f t="shared" si="305"/>
        <v>nm</v>
      </c>
      <c r="D148" s="42" t="str">
        <f t="shared" si="305"/>
        <v>nm</v>
      </c>
      <c r="E148" s="42">
        <f t="shared" si="305"/>
        <v>-2.9411764705882248E-3</v>
      </c>
      <c r="F148" s="42">
        <f t="shared" si="305"/>
        <v>-3.8348082595870192E-2</v>
      </c>
      <c r="G148" s="42">
        <f t="shared" si="305"/>
        <v>-9.2024539877300637E-2</v>
      </c>
      <c r="H148" s="42">
        <f t="shared" si="305"/>
        <v>2.7027027027026973E-2</v>
      </c>
      <c r="I148" s="42">
        <f>+IFERROR(I147/H147-1,"nm")</f>
        <v>-9.8684210526315819E-2</v>
      </c>
      <c r="J148" s="42">
        <f>+J149+J150</f>
        <v>5.7893696261236388E-2</v>
      </c>
      <c r="K148" s="42">
        <f t="shared" ref="K148:N148" si="306">+K149+K150</f>
        <v>5.7893696261236388E-2</v>
      </c>
      <c r="L148" s="42">
        <f t="shared" si="306"/>
        <v>5.7893696261236388E-2</v>
      </c>
      <c r="M148" s="42">
        <f t="shared" si="306"/>
        <v>5.7893696261236388E-2</v>
      </c>
      <c r="N148" s="42">
        <f t="shared" si="306"/>
        <v>5.7893696261236388E-2</v>
      </c>
      <c r="P148" s="83"/>
      <c r="R148" s="79"/>
      <c r="S148" s="73"/>
      <c r="T148" s="73"/>
      <c r="U148" s="73"/>
    </row>
    <row r="149" spans="1:21" x14ac:dyDescent="0.35">
      <c r="A149" s="41" t="s">
        <v>132</v>
      </c>
      <c r="B149" s="42" t="str">
        <f t="shared" ref="B149:H149" si="307">+IFERROR(B147/B$118,"nm")</f>
        <v>nm</v>
      </c>
      <c r="C149" s="42" t="str">
        <f t="shared" si="307"/>
        <v>nm</v>
      </c>
      <c r="D149" s="42" t="str">
        <f t="shared" si="307"/>
        <v>nm</v>
      </c>
      <c r="E149" s="42">
        <f t="shared" si="307"/>
        <v>6.5621370499419282E-2</v>
      </c>
      <c r="F149" s="42">
        <f t="shared" si="307"/>
        <v>6.2047963456414161E-2</v>
      </c>
      <c r="G149" s="42">
        <f t="shared" si="307"/>
        <v>5.88703261734288E-2</v>
      </c>
      <c r="H149" s="42">
        <f t="shared" si="307"/>
        <v>5.6896874415122589E-2</v>
      </c>
      <c r="I149" s="42">
        <f>+IFERROR(I147/I$118,"nm")</f>
        <v>4.6011754827875735E-2</v>
      </c>
      <c r="J149" s="44">
        <f>AVERAGE(E149,F149,I149)</f>
        <v>5.7893696261236388E-2</v>
      </c>
      <c r="K149" s="44">
        <f>+J149</f>
        <v>5.7893696261236388E-2</v>
      </c>
      <c r="L149" s="44">
        <f t="shared" ref="L149" si="308">+K149</f>
        <v>5.7893696261236388E-2</v>
      </c>
      <c r="M149" s="44">
        <f t="shared" ref="M149" si="309">+L149</f>
        <v>5.7893696261236388E-2</v>
      </c>
      <c r="N149" s="44">
        <f t="shared" ref="N149" si="310">+M149</f>
        <v>5.7893696261236388E-2</v>
      </c>
      <c r="P149" s="83"/>
      <c r="R149" s="79"/>
      <c r="S149" s="80"/>
      <c r="T149" s="80"/>
      <c r="U149" s="80"/>
    </row>
    <row r="150" spans="1:21" ht="14.5" customHeight="1" x14ac:dyDescent="0.35">
      <c r="A150" s="38" t="s">
        <v>106</v>
      </c>
      <c r="B150" s="38"/>
      <c r="C150" s="38"/>
      <c r="D150" s="38"/>
      <c r="E150" s="38"/>
      <c r="F150" s="38"/>
      <c r="G150" s="38"/>
      <c r="H150" s="38"/>
      <c r="I150" s="38"/>
      <c r="J150" s="34"/>
      <c r="K150" s="34"/>
      <c r="L150" s="34"/>
      <c r="M150" s="34"/>
      <c r="N150" s="34"/>
      <c r="P150" s="83" t="s">
        <v>231</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f>
        <v>102</v>
      </c>
      <c r="K151" s="9">
        <f t="shared" ref="K151:N151" si="311">J151</f>
        <v>102</v>
      </c>
      <c r="L151" s="9">
        <f t="shared" si="311"/>
        <v>102</v>
      </c>
      <c r="M151" s="9">
        <f t="shared" si="311"/>
        <v>102</v>
      </c>
      <c r="N151" s="9">
        <f t="shared" si="311"/>
        <v>102</v>
      </c>
      <c r="O151" s="82" t="s">
        <v>226</v>
      </c>
      <c r="P151" s="83"/>
    </row>
    <row r="152" spans="1:21" x14ac:dyDescent="0.35">
      <c r="A152" s="39" t="s">
        <v>128</v>
      </c>
      <c r="B152" s="42" t="str">
        <f t="shared" ref="B152:I152" si="312">+IFERROR(B151/A151-1,"nm")</f>
        <v>nm</v>
      </c>
      <c r="C152" s="42">
        <f t="shared" si="312"/>
        <v>-0.36521739130434783</v>
      </c>
      <c r="D152" s="42">
        <f t="shared" si="312"/>
        <v>0</v>
      </c>
      <c r="E152" s="42">
        <f t="shared" si="312"/>
        <v>0.20547945205479445</v>
      </c>
      <c r="F152" s="42">
        <f t="shared" si="312"/>
        <v>-0.52272727272727271</v>
      </c>
      <c r="G152" s="42">
        <f t="shared" si="312"/>
        <v>-0.2857142857142857</v>
      </c>
      <c r="H152" s="42">
        <f t="shared" si="312"/>
        <v>-0.16666666666666663</v>
      </c>
      <c r="I152" s="42">
        <f t="shared" si="312"/>
        <v>3.08</v>
      </c>
      <c r="J152" s="42">
        <f t="shared" ref="J152:K152" si="313">+IFERROR(J151/I151-1,"nm")</f>
        <v>0</v>
      </c>
      <c r="K152" s="42">
        <f t="shared" si="313"/>
        <v>0</v>
      </c>
      <c r="L152" s="42">
        <f t="shared" ref="L152" si="314">+IFERROR(L151/K151-1,"nm")</f>
        <v>0</v>
      </c>
      <c r="M152" s="42">
        <f t="shared" ref="M152" si="315">+IFERROR(M151/L151-1,"nm")</f>
        <v>0</v>
      </c>
      <c r="N152" s="42">
        <f t="shared" ref="N152" si="316">+IFERROR(N151/M151-1,"nm")</f>
        <v>0</v>
      </c>
      <c r="P152" s="83"/>
    </row>
    <row r="153" spans="1:21" x14ac:dyDescent="0.35">
      <c r="A153" s="39" t="s">
        <v>136</v>
      </c>
      <c r="B153" s="42">
        <f>Historicals!B249</f>
        <v>0</v>
      </c>
      <c r="C153" s="42">
        <f>Historicals!C249</f>
        <v>0</v>
      </c>
      <c r="D153" s="42">
        <f>Historicals!D249</f>
        <v>0</v>
      </c>
      <c r="E153" s="42">
        <f>Historicals!E249</f>
        <v>0</v>
      </c>
      <c r="F153" s="42">
        <f>Historicals!F249</f>
        <v>0</v>
      </c>
      <c r="G153" s="42">
        <f>Historicals!G249</f>
        <v>0</v>
      </c>
      <c r="H153" s="42">
        <f>Historicals!H249</f>
        <v>0</v>
      </c>
      <c r="I153" s="42">
        <f>Historicals!I249</f>
        <v>0</v>
      </c>
      <c r="J153" s="44">
        <v>0</v>
      </c>
      <c r="K153" s="44">
        <v>0</v>
      </c>
      <c r="L153" s="44">
        <v>0</v>
      </c>
      <c r="M153" s="44">
        <v>0</v>
      </c>
      <c r="N153" s="44">
        <v>0</v>
      </c>
      <c r="P153" s="83"/>
    </row>
    <row r="154" spans="1:21" x14ac:dyDescent="0.35">
      <c r="A154" s="39" t="s">
        <v>137</v>
      </c>
      <c r="B154" s="42" t="str">
        <f t="shared" ref="B154:H154" si="317">+IFERROR(B152-B153,"nm")</f>
        <v>nm</v>
      </c>
      <c r="C154" s="42">
        <f t="shared" si="317"/>
        <v>-0.36521739130434783</v>
      </c>
      <c r="D154" s="42">
        <f t="shared" si="317"/>
        <v>0</v>
      </c>
      <c r="E154" s="42">
        <f t="shared" si="317"/>
        <v>0.20547945205479445</v>
      </c>
      <c r="F154" s="42">
        <f t="shared" si="317"/>
        <v>-0.52272727272727271</v>
      </c>
      <c r="G154" s="42">
        <f t="shared" si="317"/>
        <v>-0.2857142857142857</v>
      </c>
      <c r="H154" s="42">
        <f t="shared" si="317"/>
        <v>-0.16666666666666663</v>
      </c>
      <c r="I154" s="42">
        <f>+IFERROR(I152-I153,"nm")</f>
        <v>3.08</v>
      </c>
      <c r="J154" s="44">
        <v>0</v>
      </c>
      <c r="K154" s="44">
        <v>0</v>
      </c>
      <c r="L154" s="44">
        <v>0</v>
      </c>
      <c r="M154" s="44">
        <v>0</v>
      </c>
      <c r="N154" s="44">
        <v>0</v>
      </c>
      <c r="P154" s="83"/>
    </row>
    <row r="155" spans="1:21" x14ac:dyDescent="0.35">
      <c r="A155" s="9" t="s">
        <v>129</v>
      </c>
      <c r="B155" s="9">
        <f t="shared" ref="B155:I155" si="318">+B158+B162</f>
        <v>-2057</v>
      </c>
      <c r="C155" s="9">
        <f t="shared" si="318"/>
        <v>-2366</v>
      </c>
      <c r="D155" s="9">
        <f t="shared" si="318"/>
        <v>-2444</v>
      </c>
      <c r="E155" s="9">
        <f t="shared" si="318"/>
        <v>-2441</v>
      </c>
      <c r="F155" s="9">
        <f t="shared" si="318"/>
        <v>-3067</v>
      </c>
      <c r="G155" s="9">
        <f t="shared" si="318"/>
        <v>-3254</v>
      </c>
      <c r="H155" s="9">
        <f t="shared" si="318"/>
        <v>-3434</v>
      </c>
      <c r="I155" s="9">
        <f t="shared" si="318"/>
        <v>-4042</v>
      </c>
      <c r="J155" s="43">
        <f>+J151*J157</f>
        <v>-3810.843493924182</v>
      </c>
      <c r="K155" s="43">
        <f t="shared" ref="K155:N155" si="319">+K151*K157</f>
        <v>-3810.843493924182</v>
      </c>
      <c r="L155" s="43">
        <f t="shared" si="319"/>
        <v>-3810.843493924182</v>
      </c>
      <c r="M155" s="43">
        <f t="shared" si="319"/>
        <v>-3810.843493924182</v>
      </c>
      <c r="N155" s="43">
        <f t="shared" si="319"/>
        <v>-3810.843493924182</v>
      </c>
      <c r="O155" s="1" t="s">
        <v>218</v>
      </c>
      <c r="P155" s="83"/>
      <c r="R155" s="58"/>
      <c r="S155" s="43"/>
      <c r="T155" s="43"/>
      <c r="U155" s="43"/>
    </row>
    <row r="156" spans="1:21" x14ac:dyDescent="0.35">
      <c r="A156" s="41" t="s">
        <v>128</v>
      </c>
      <c r="B156" s="42" t="str">
        <f t="shared" ref="B156:N156" si="320">+IFERROR(B155/A155-1,"nm")</f>
        <v>nm</v>
      </c>
      <c r="C156" s="42">
        <f t="shared" si="320"/>
        <v>0.15021876519202726</v>
      </c>
      <c r="D156" s="42">
        <f t="shared" si="320"/>
        <v>3.2967032967033072E-2</v>
      </c>
      <c r="E156" s="42">
        <f t="shared" si="320"/>
        <v>-1.2274959083469206E-3</v>
      </c>
      <c r="F156" s="42">
        <f t="shared" si="320"/>
        <v>0.25645227365833678</v>
      </c>
      <c r="G156" s="42">
        <f t="shared" si="320"/>
        <v>6.0971633518095869E-2</v>
      </c>
      <c r="H156" s="42">
        <f t="shared" si="320"/>
        <v>5.5316533497234088E-2</v>
      </c>
      <c r="I156" s="42">
        <f t="shared" si="320"/>
        <v>0.1770529994175889</v>
      </c>
      <c r="J156" s="42">
        <f t="shared" si="320"/>
        <v>-5.7188645738698196E-2</v>
      </c>
      <c r="K156" s="42">
        <f>+IFERROR(K155/J155-1,"nm")</f>
        <v>0</v>
      </c>
      <c r="L156" s="42">
        <f t="shared" si="320"/>
        <v>0</v>
      </c>
      <c r="M156" s="42">
        <f t="shared" si="320"/>
        <v>0</v>
      </c>
      <c r="N156" s="42">
        <f t="shared" si="320"/>
        <v>0</v>
      </c>
      <c r="P156" s="83"/>
      <c r="R156" s="79"/>
      <c r="S156" s="73"/>
      <c r="T156" s="73"/>
      <c r="U156" s="73"/>
    </row>
    <row r="157" spans="1:21" x14ac:dyDescent="0.35">
      <c r="A157" s="41" t="s">
        <v>130</v>
      </c>
      <c r="B157" s="42">
        <f>+IFERROR(B155/B151,"nm")</f>
        <v>-17.88695652173913</v>
      </c>
      <c r="C157" s="42">
        <f t="shared" ref="C157:I157" si="321">+IFERROR(C155/C151,"nm")</f>
        <v>-32.410958904109592</v>
      </c>
      <c r="D157" s="42">
        <f t="shared" si="321"/>
        <v>-33.479452054794521</v>
      </c>
      <c r="E157" s="42">
        <f t="shared" si="321"/>
        <v>-27.738636363636363</v>
      </c>
      <c r="F157" s="42">
        <f t="shared" si="321"/>
        <v>-73.023809523809518</v>
      </c>
      <c r="G157" s="42">
        <f t="shared" si="321"/>
        <v>-108.46666666666667</v>
      </c>
      <c r="H157" s="42">
        <f t="shared" si="321"/>
        <v>-137.36000000000001</v>
      </c>
      <c r="I157" s="42">
        <f t="shared" si="321"/>
        <v>-39.627450980392155</v>
      </c>
      <c r="J157" s="44">
        <f>AVERAGE(B157:F157,I157)</f>
        <v>-37.361210724746883</v>
      </c>
      <c r="K157" s="44">
        <f>+J157</f>
        <v>-37.361210724746883</v>
      </c>
      <c r="L157" s="44">
        <f t="shared" ref="L157:N157" si="322">+K157</f>
        <v>-37.361210724746883</v>
      </c>
      <c r="M157" s="44">
        <f t="shared" si="322"/>
        <v>-37.361210724746883</v>
      </c>
      <c r="N157" s="44">
        <f t="shared" si="322"/>
        <v>-37.361210724746883</v>
      </c>
      <c r="P157" s="83"/>
      <c r="R157" s="79"/>
      <c r="S157" s="80"/>
      <c r="T157" s="80"/>
      <c r="U157" s="80"/>
    </row>
    <row r="158" spans="1:21" x14ac:dyDescent="0.35">
      <c r="A158" s="9" t="s">
        <v>131</v>
      </c>
      <c r="B158" s="9">
        <f>Historicals!B196</f>
        <v>210</v>
      </c>
      <c r="C158" s="9">
        <f>Historicals!C196</f>
        <v>230</v>
      </c>
      <c r="D158" s="9">
        <f>Historicals!D196</f>
        <v>233</v>
      </c>
      <c r="E158" s="9">
        <f>Historicals!E196</f>
        <v>217</v>
      </c>
      <c r="F158" s="9">
        <f>Historicals!F196</f>
        <v>195</v>
      </c>
      <c r="G158" s="9">
        <f>Historicals!G196</f>
        <v>214</v>
      </c>
      <c r="H158" s="9">
        <f>Historicals!H196</f>
        <v>222</v>
      </c>
      <c r="I158" s="9">
        <f>Historicals!I196</f>
        <v>220</v>
      </c>
      <c r="J158" s="9">
        <f>J168*J161</f>
        <v>312.42526440728858</v>
      </c>
      <c r="K158" s="9">
        <f t="shared" ref="K158:N158" si="323">K168*K161</f>
        <v>312.42526440728858</v>
      </c>
      <c r="L158" s="9">
        <f t="shared" si="323"/>
        <v>312.42526440728858</v>
      </c>
      <c r="M158" s="9">
        <f t="shared" si="323"/>
        <v>312.42526440728858</v>
      </c>
      <c r="N158" s="9">
        <f t="shared" si="323"/>
        <v>312.42526440728858</v>
      </c>
      <c r="O158" s="1" t="s">
        <v>219</v>
      </c>
      <c r="P158" s="83"/>
      <c r="R158" s="58"/>
      <c r="S158" s="58"/>
      <c r="T158" s="58"/>
      <c r="U158" s="58"/>
    </row>
    <row r="159" spans="1:21" x14ac:dyDescent="0.35">
      <c r="A159" s="41" t="s">
        <v>128</v>
      </c>
      <c r="B159" s="42" t="str">
        <f t="shared" ref="B159:N159" si="324">+IFERROR(B158/A158-1,"nm")</f>
        <v>nm</v>
      </c>
      <c r="C159" s="42">
        <f t="shared" si="324"/>
        <v>9.5238095238095344E-2</v>
      </c>
      <c r="D159" s="42">
        <f t="shared" si="324"/>
        <v>1.304347826086949E-2</v>
      </c>
      <c r="E159" s="42">
        <f t="shared" si="324"/>
        <v>-6.8669527896995763E-2</v>
      </c>
      <c r="F159" s="42">
        <f t="shared" si="324"/>
        <v>-0.10138248847926268</v>
      </c>
      <c r="G159" s="42">
        <f t="shared" si="324"/>
        <v>9.7435897435897534E-2</v>
      </c>
      <c r="H159" s="42">
        <f t="shared" si="324"/>
        <v>3.7383177570093462E-2</v>
      </c>
      <c r="I159" s="42">
        <f t="shared" si="324"/>
        <v>-9.009009009009028E-3</v>
      </c>
      <c r="J159" s="42">
        <f t="shared" si="324"/>
        <v>0.42011483821494799</v>
      </c>
      <c r="K159" s="42">
        <f>+IFERROR(K158/J158-1,"nm")</f>
        <v>0</v>
      </c>
      <c r="L159" s="42">
        <f t="shared" si="324"/>
        <v>0</v>
      </c>
      <c r="M159" s="42">
        <f t="shared" si="324"/>
        <v>0</v>
      </c>
      <c r="N159" s="42">
        <f t="shared" si="324"/>
        <v>0</v>
      </c>
      <c r="P159" s="83"/>
      <c r="R159" s="79"/>
      <c r="S159" s="73"/>
      <c r="T159" s="73"/>
      <c r="U159" s="73"/>
    </row>
    <row r="160" spans="1:21" x14ac:dyDescent="0.35">
      <c r="A160" s="41" t="s">
        <v>132</v>
      </c>
      <c r="B160" s="42">
        <f t="shared" ref="B160:H160" si="325">+IFERROR(B158/B$151,"nm")</f>
        <v>1.826086956521739</v>
      </c>
      <c r="C160" s="42">
        <f t="shared" si="325"/>
        <v>3.1506849315068495</v>
      </c>
      <c r="D160" s="42">
        <f t="shared" si="325"/>
        <v>3.1917808219178081</v>
      </c>
      <c r="E160" s="42">
        <f t="shared" si="325"/>
        <v>2.4659090909090908</v>
      </c>
      <c r="F160" s="42">
        <f t="shared" si="325"/>
        <v>4.6428571428571432</v>
      </c>
      <c r="G160" s="42">
        <f t="shared" si="325"/>
        <v>7.1333333333333337</v>
      </c>
      <c r="H160" s="42">
        <f t="shared" si="325"/>
        <v>8.8800000000000008</v>
      </c>
      <c r="I160" s="42">
        <f>+IFERROR(I158/I$151,"nm")</f>
        <v>2.1568627450980391</v>
      </c>
      <c r="J160" s="42">
        <f t="shared" ref="J160:N160" si="326">+IFERROR(J158/J$151,"nm")</f>
        <v>3.0629927883067509</v>
      </c>
      <c r="K160" s="42">
        <f t="shared" si="326"/>
        <v>3.0629927883067509</v>
      </c>
      <c r="L160" s="42">
        <f t="shared" si="326"/>
        <v>3.0629927883067509</v>
      </c>
      <c r="M160" s="42">
        <f t="shared" si="326"/>
        <v>3.0629927883067509</v>
      </c>
      <c r="N160" s="42">
        <f t="shared" si="326"/>
        <v>3.0629927883067509</v>
      </c>
      <c r="P160" s="83"/>
      <c r="R160" s="79"/>
      <c r="S160" s="73"/>
      <c r="T160" s="73"/>
      <c r="U160" s="73"/>
    </row>
    <row r="161" spans="1:21" x14ac:dyDescent="0.35">
      <c r="A161" s="41" t="s">
        <v>139</v>
      </c>
      <c r="B161" s="42">
        <f t="shared" ref="B161:I161" si="327">+IFERROR(B158/B168,"nm")</f>
        <v>0.43388429752066116</v>
      </c>
      <c r="C161" s="42">
        <f t="shared" si="327"/>
        <v>0.45009784735812131</v>
      </c>
      <c r="D161" s="42">
        <f t="shared" si="327"/>
        <v>0.43714821763602252</v>
      </c>
      <c r="E161" s="42">
        <f t="shared" si="327"/>
        <v>0.36348408710217756</v>
      </c>
      <c r="F161" s="42">
        <f t="shared" si="327"/>
        <v>0.2932330827067669</v>
      </c>
      <c r="G161" s="42">
        <f t="shared" si="327"/>
        <v>0.25783132530120484</v>
      </c>
      <c r="H161" s="42">
        <f t="shared" si="327"/>
        <v>0.2846153846153846</v>
      </c>
      <c r="I161" s="42">
        <f t="shared" si="327"/>
        <v>0.27883396704689478</v>
      </c>
      <c r="J161" s="44">
        <f>AVERAGE(B161:F161,I161)</f>
        <v>0.37611358322844074</v>
      </c>
      <c r="K161" s="44">
        <f>+J161</f>
        <v>0.37611358322844074</v>
      </c>
      <c r="L161" s="44">
        <f t="shared" ref="L161:N161" si="328">+K161</f>
        <v>0.37611358322844074</v>
      </c>
      <c r="M161" s="44">
        <f t="shared" si="328"/>
        <v>0.37611358322844074</v>
      </c>
      <c r="N161" s="44">
        <f t="shared" si="328"/>
        <v>0.37611358322844074</v>
      </c>
      <c r="P161" s="83"/>
      <c r="R161" s="79"/>
      <c r="S161" s="80"/>
      <c r="T161" s="80"/>
      <c r="U161" s="80"/>
    </row>
    <row r="162" spans="1:21" x14ac:dyDescent="0.35">
      <c r="A162" s="9" t="s">
        <v>133</v>
      </c>
      <c r="B162" s="9">
        <f>Historicals!B160</f>
        <v>-2267</v>
      </c>
      <c r="C162" s="9">
        <f>Historicals!C160</f>
        <v>-2596</v>
      </c>
      <c r="D162" s="9">
        <f>Historicals!D160</f>
        <v>-2677</v>
      </c>
      <c r="E162" s="9">
        <f>Historicals!E160</f>
        <v>-2658</v>
      </c>
      <c r="F162" s="9">
        <f>Historicals!F160</f>
        <v>-3262</v>
      </c>
      <c r="G162" s="9">
        <f>Historicals!G160</f>
        <v>-3468</v>
      </c>
      <c r="H162" s="9">
        <f>Historicals!H160</f>
        <v>-3656</v>
      </c>
      <c r="I162" s="9">
        <f>Historicals!I160</f>
        <v>-4262</v>
      </c>
      <c r="J162" s="9">
        <f>J155-J158</f>
        <v>-4123.268758331471</v>
      </c>
      <c r="K162" s="9">
        <f t="shared" ref="K162:N162" si="329">K155-K158</f>
        <v>-4123.268758331471</v>
      </c>
      <c r="L162" s="9">
        <f t="shared" si="329"/>
        <v>-4123.268758331471</v>
      </c>
      <c r="M162" s="9">
        <f t="shared" si="329"/>
        <v>-4123.268758331471</v>
      </c>
      <c r="N162" s="9">
        <f t="shared" si="329"/>
        <v>-4123.268758331471</v>
      </c>
      <c r="O162" s="1" t="s">
        <v>216</v>
      </c>
      <c r="P162" s="83"/>
    </row>
    <row r="163" spans="1:21" x14ac:dyDescent="0.35">
      <c r="A163" s="41" t="s">
        <v>128</v>
      </c>
      <c r="B163" s="42" t="str">
        <f t="shared" ref="B163:I163" si="330">+IFERROR(B162/A162-1,"nm")</f>
        <v>nm</v>
      </c>
      <c r="C163" s="42">
        <f t="shared" si="330"/>
        <v>0.145125716806352</v>
      </c>
      <c r="D163" s="42">
        <f t="shared" si="330"/>
        <v>3.1201848998459125E-2</v>
      </c>
      <c r="E163" s="42">
        <f t="shared" si="330"/>
        <v>-7.097497198356395E-3</v>
      </c>
      <c r="F163" s="42">
        <f t="shared" si="330"/>
        <v>0.22723852520692245</v>
      </c>
      <c r="G163" s="42">
        <f t="shared" si="330"/>
        <v>6.3151440833844275E-2</v>
      </c>
      <c r="H163" s="42">
        <f t="shared" si="330"/>
        <v>5.4209919261822392E-2</v>
      </c>
      <c r="I163" s="42">
        <f t="shared" si="330"/>
        <v>0.16575492341356668</v>
      </c>
      <c r="J163" s="42">
        <f t="shared" ref="J163" si="331">+IFERROR(J162/I162-1,"nm")</f>
        <v>-3.2550737134802721E-2</v>
      </c>
      <c r="K163" s="42">
        <f t="shared" ref="K163" si="332">+IFERROR(K162/J162-1,"nm")</f>
        <v>0</v>
      </c>
      <c r="L163" s="42">
        <f t="shared" ref="L163" si="333">+IFERROR(L162/K162-1,"nm")</f>
        <v>0</v>
      </c>
      <c r="M163" s="42">
        <f t="shared" ref="M163" si="334">+IFERROR(M162/L162-1,"nm")</f>
        <v>0</v>
      </c>
      <c r="N163" s="42">
        <f t="shared" ref="N163" si="335">+IFERROR(N162/M162-1,"nm")</f>
        <v>0</v>
      </c>
      <c r="P163" s="83"/>
    </row>
    <row r="164" spans="1:21" x14ac:dyDescent="0.35">
      <c r="A164" s="41" t="s">
        <v>130</v>
      </c>
      <c r="B164" s="42">
        <f t="shared" ref="B164:H164" si="336">+IFERROR(B162/B$151,"nm")</f>
        <v>-19.713043478260868</v>
      </c>
      <c r="C164" s="42">
        <f t="shared" si="336"/>
        <v>-35.561643835616437</v>
      </c>
      <c r="D164" s="42">
        <f t="shared" si="336"/>
        <v>-36.671232876712331</v>
      </c>
      <c r="E164" s="42">
        <f t="shared" si="336"/>
        <v>-30.204545454545453</v>
      </c>
      <c r="F164" s="42">
        <f t="shared" si="336"/>
        <v>-77.666666666666671</v>
      </c>
      <c r="G164" s="42">
        <f t="shared" si="336"/>
        <v>-115.6</v>
      </c>
      <c r="H164" s="42">
        <f t="shared" si="336"/>
        <v>-146.24</v>
      </c>
      <c r="I164" s="42">
        <f>+IFERROR(I162/I$151,"nm")</f>
        <v>-41.784313725490193</v>
      </c>
      <c r="J164" s="42">
        <f t="shared" ref="J164:N164" si="337">+IFERROR(J162/J$151,"nm")</f>
        <v>-40.424203513053634</v>
      </c>
      <c r="K164" s="42">
        <f t="shared" si="337"/>
        <v>-40.424203513053634</v>
      </c>
      <c r="L164" s="42">
        <f t="shared" si="337"/>
        <v>-40.424203513053634</v>
      </c>
      <c r="M164" s="42">
        <f t="shared" si="337"/>
        <v>-40.424203513053634</v>
      </c>
      <c r="N164" s="42">
        <f t="shared" si="337"/>
        <v>-40.424203513053634</v>
      </c>
      <c r="P164" s="83"/>
    </row>
    <row r="165" spans="1:21" x14ac:dyDescent="0.35">
      <c r="A165" s="9" t="s">
        <v>134</v>
      </c>
      <c r="B165" s="9">
        <f>Historicals!B184</f>
        <v>225</v>
      </c>
      <c r="C165" s="9">
        <f>Historicals!C184</f>
        <v>258</v>
      </c>
      <c r="D165" s="9">
        <f>Historicals!D184</f>
        <v>278</v>
      </c>
      <c r="E165" s="9">
        <f>Historicals!E184</f>
        <v>286</v>
      </c>
      <c r="F165" s="9">
        <f>Historicals!F184</f>
        <v>278</v>
      </c>
      <c r="G165" s="9">
        <f>Historicals!G184</f>
        <v>438</v>
      </c>
      <c r="H165" s="9">
        <f>Historicals!H184</f>
        <v>278</v>
      </c>
      <c r="I165" s="9">
        <f>Historicals!I184</f>
        <v>222</v>
      </c>
      <c r="J165" s="9">
        <f>J151*J167</f>
        <v>362.85659689724611</v>
      </c>
      <c r="K165" s="9">
        <f t="shared" ref="K165:N165" si="338">K151*K167</f>
        <v>362.85659689724611</v>
      </c>
      <c r="L165" s="9">
        <f t="shared" si="338"/>
        <v>362.85659689724611</v>
      </c>
      <c r="M165" s="9">
        <f t="shared" si="338"/>
        <v>362.85659689724611</v>
      </c>
      <c r="N165" s="9">
        <f t="shared" si="338"/>
        <v>362.85659689724611</v>
      </c>
      <c r="O165" s="1" t="s">
        <v>220</v>
      </c>
      <c r="P165" s="83"/>
      <c r="R165" s="58"/>
      <c r="S165" s="58"/>
      <c r="T165" s="58"/>
      <c r="U165" s="58"/>
    </row>
    <row r="166" spans="1:21" x14ac:dyDescent="0.35">
      <c r="A166" s="41" t="s">
        <v>128</v>
      </c>
      <c r="B166" s="42" t="str">
        <f t="shared" ref="B166:N166" si="339">+IFERROR(B165/A165-1,"nm")</f>
        <v>nm</v>
      </c>
      <c r="C166" s="42">
        <f t="shared" si="339"/>
        <v>0.14666666666666672</v>
      </c>
      <c r="D166" s="42">
        <f t="shared" si="339"/>
        <v>7.7519379844961156E-2</v>
      </c>
      <c r="E166" s="42">
        <f t="shared" si="339"/>
        <v>2.877697841726623E-2</v>
      </c>
      <c r="F166" s="42">
        <f t="shared" si="339"/>
        <v>-2.7972027972028024E-2</v>
      </c>
      <c r="G166" s="42">
        <f t="shared" si="339"/>
        <v>0.57553956834532372</v>
      </c>
      <c r="H166" s="42">
        <f t="shared" si="339"/>
        <v>-0.36529680365296802</v>
      </c>
      <c r="I166" s="42">
        <f t="shared" si="339"/>
        <v>-0.20143884892086328</v>
      </c>
      <c r="J166" s="42">
        <f t="shared" si="339"/>
        <v>0.63448917521282033</v>
      </c>
      <c r="K166" s="42">
        <f>+IFERROR(K165/J165-1,"nm")</f>
        <v>0</v>
      </c>
      <c r="L166" s="42">
        <f t="shared" si="339"/>
        <v>0</v>
      </c>
      <c r="M166" s="42">
        <f t="shared" si="339"/>
        <v>0</v>
      </c>
      <c r="N166" s="42">
        <f t="shared" si="339"/>
        <v>0</v>
      </c>
      <c r="P166" s="83"/>
      <c r="R166" s="79"/>
      <c r="S166" s="73"/>
      <c r="T166" s="73"/>
      <c r="U166" s="73"/>
    </row>
    <row r="167" spans="1:21" x14ac:dyDescent="0.35">
      <c r="A167" s="41" t="s">
        <v>132</v>
      </c>
      <c r="B167" s="42">
        <f t="shared" ref="B167:H167" si="340">+IFERROR(B165/B$151,"nm")</f>
        <v>1.9565217391304348</v>
      </c>
      <c r="C167" s="42">
        <f t="shared" si="340"/>
        <v>3.5342465753424657</v>
      </c>
      <c r="D167" s="42">
        <f t="shared" si="340"/>
        <v>3.8082191780821919</v>
      </c>
      <c r="E167" s="42">
        <f t="shared" si="340"/>
        <v>3.25</v>
      </c>
      <c r="F167" s="42">
        <f t="shared" si="340"/>
        <v>6.6190476190476186</v>
      </c>
      <c r="G167" s="42">
        <f t="shared" si="340"/>
        <v>14.6</v>
      </c>
      <c r="H167" s="42">
        <f t="shared" si="340"/>
        <v>11.12</v>
      </c>
      <c r="I167" s="42">
        <f>+IFERROR(I165/I$151,"nm")</f>
        <v>2.1764705882352939</v>
      </c>
      <c r="J167" s="44">
        <f>AVERAGE(B167:F167,I167)</f>
        <v>3.5574176166396678</v>
      </c>
      <c r="K167" s="44">
        <f>+J167</f>
        <v>3.5574176166396678</v>
      </c>
      <c r="L167" s="44">
        <f t="shared" ref="L167:N167" si="341">+K167</f>
        <v>3.5574176166396678</v>
      </c>
      <c r="M167" s="44">
        <f t="shared" si="341"/>
        <v>3.5574176166396678</v>
      </c>
      <c r="N167" s="44">
        <f t="shared" si="341"/>
        <v>3.5574176166396678</v>
      </c>
      <c r="P167" s="83"/>
      <c r="R167" s="79"/>
      <c r="S167" s="80"/>
      <c r="T167" s="80"/>
      <c r="U167" s="80"/>
    </row>
    <row r="168" spans="1:21" x14ac:dyDescent="0.35">
      <c r="A168" s="9" t="s">
        <v>140</v>
      </c>
      <c r="B168" s="9">
        <f>Historicals!B172</f>
        <v>484</v>
      </c>
      <c r="C168" s="9">
        <f>Historicals!C172</f>
        <v>511</v>
      </c>
      <c r="D168" s="9">
        <f>Historicals!D172</f>
        <v>533</v>
      </c>
      <c r="E168" s="9">
        <f>Historicals!E172</f>
        <v>597</v>
      </c>
      <c r="F168" s="9">
        <f>Historicals!F172</f>
        <v>665</v>
      </c>
      <c r="G168" s="9">
        <f>Historicals!G172</f>
        <v>830</v>
      </c>
      <c r="H168" s="9">
        <f>Historicals!H172</f>
        <v>780</v>
      </c>
      <c r="I168" s="9">
        <f>Historicals!I172</f>
        <v>789</v>
      </c>
      <c r="J168" s="43">
        <f>+J151*J170</f>
        <v>830.66732587940146</v>
      </c>
      <c r="K168" s="43">
        <f t="shared" ref="K168:N168" si="342">+K151*K170</f>
        <v>830.66732587940146</v>
      </c>
      <c r="L168" s="43">
        <f t="shared" si="342"/>
        <v>830.66732587940146</v>
      </c>
      <c r="M168" s="43">
        <f t="shared" si="342"/>
        <v>830.66732587940146</v>
      </c>
      <c r="N168" s="43">
        <f t="shared" si="342"/>
        <v>830.66732587940146</v>
      </c>
      <c r="O168" s="1" t="s">
        <v>220</v>
      </c>
      <c r="P168" s="83"/>
      <c r="R168" s="58"/>
      <c r="S168" s="43"/>
      <c r="T168" s="43"/>
      <c r="U168" s="43"/>
    </row>
    <row r="169" spans="1:21" x14ac:dyDescent="0.35">
      <c r="A169" s="41" t="s">
        <v>128</v>
      </c>
      <c r="B169" s="42" t="str">
        <f t="shared" ref="B169:H169" si="343">+IFERROR(B168/A168-1,"nm")</f>
        <v>nm</v>
      </c>
      <c r="C169" s="42">
        <f t="shared" si="343"/>
        <v>5.5785123966942241E-2</v>
      </c>
      <c r="D169" s="42">
        <f t="shared" si="343"/>
        <v>4.3052837573385627E-2</v>
      </c>
      <c r="E169" s="42">
        <f t="shared" si="343"/>
        <v>0.12007504690431525</v>
      </c>
      <c r="F169" s="42">
        <f t="shared" si="343"/>
        <v>0.11390284757118918</v>
      </c>
      <c r="G169" s="42">
        <f t="shared" si="343"/>
        <v>0.24812030075187974</v>
      </c>
      <c r="H169" s="42">
        <f t="shared" si="343"/>
        <v>-6.0240963855421659E-2</v>
      </c>
      <c r="I169" s="42">
        <f>+IFERROR(I168/H168-1,"nm")</f>
        <v>1.1538461538461497E-2</v>
      </c>
      <c r="J169" s="42">
        <f t="shared" ref="J169:N169" si="344">+IFERROR(J168/I168-1,"nm")</f>
        <v>5.2810298959951263E-2</v>
      </c>
      <c r="K169" s="42">
        <f t="shared" si="344"/>
        <v>0</v>
      </c>
      <c r="L169" s="42">
        <f t="shared" si="344"/>
        <v>0</v>
      </c>
      <c r="M169" s="42">
        <f t="shared" si="344"/>
        <v>0</v>
      </c>
      <c r="N169" s="42">
        <f t="shared" si="344"/>
        <v>0</v>
      </c>
      <c r="P169" s="83"/>
      <c r="R169" s="79"/>
      <c r="S169" s="73"/>
      <c r="T169" s="73"/>
      <c r="U169" s="73"/>
    </row>
    <row r="170" spans="1:21" x14ac:dyDescent="0.35">
      <c r="A170" s="41" t="s">
        <v>132</v>
      </c>
      <c r="B170" s="42">
        <f t="shared" ref="B170:H170" si="345">+IFERROR(B168/B$151,"nm")</f>
        <v>4.2086956521739127</v>
      </c>
      <c r="C170" s="42">
        <f t="shared" si="345"/>
        <v>7</v>
      </c>
      <c r="D170" s="42">
        <f t="shared" si="345"/>
        <v>7.3013698630136989</v>
      </c>
      <c r="E170" s="42">
        <f t="shared" si="345"/>
        <v>6.7840909090909092</v>
      </c>
      <c r="F170" s="42">
        <f t="shared" si="345"/>
        <v>15.833333333333334</v>
      </c>
      <c r="G170" s="42">
        <f t="shared" si="345"/>
        <v>27.666666666666668</v>
      </c>
      <c r="H170" s="42">
        <f t="shared" si="345"/>
        <v>31.2</v>
      </c>
      <c r="I170" s="42">
        <f>+IFERROR(I168/I$151,"nm")</f>
        <v>7.7352941176470589</v>
      </c>
      <c r="J170" s="44">
        <f>AVERAGE(B170:F170,I170)</f>
        <v>8.1437973125431515</v>
      </c>
      <c r="K170" s="44">
        <f>+J170</f>
        <v>8.1437973125431515</v>
      </c>
      <c r="L170" s="44">
        <f t="shared" ref="L170:N170" si="346">+K170</f>
        <v>8.1437973125431515</v>
      </c>
      <c r="M170" s="44">
        <f t="shared" si="346"/>
        <v>8.1437973125431515</v>
      </c>
      <c r="N170" s="44">
        <f t="shared" si="346"/>
        <v>8.1437973125431515</v>
      </c>
      <c r="P170" s="83"/>
      <c r="R170" s="79"/>
      <c r="S170" s="80"/>
      <c r="T170" s="80"/>
      <c r="U170" s="80"/>
    </row>
    <row r="171" spans="1:21" x14ac:dyDescent="0.35">
      <c r="A171" s="68" t="s">
        <v>196</v>
      </c>
      <c r="B171" s="38"/>
      <c r="C171" s="38"/>
      <c r="D171" s="38"/>
      <c r="E171" s="38"/>
      <c r="F171" s="38"/>
      <c r="G171" s="38"/>
      <c r="H171" s="38"/>
      <c r="I171" s="38"/>
      <c r="J171" s="34"/>
      <c r="K171" s="34"/>
      <c r="L171" s="34"/>
      <c r="M171" s="34"/>
      <c r="N171" s="34"/>
      <c r="P171" s="83"/>
      <c r="R171" s="81"/>
      <c r="S171" s="1"/>
      <c r="T171" s="1"/>
      <c r="U171" s="1"/>
    </row>
    <row r="172" spans="1:21" x14ac:dyDescent="0.35">
      <c r="A172" s="9" t="s">
        <v>135</v>
      </c>
      <c r="B172" s="9">
        <f>Historicals!B125+Historicals!B129+Historicals!B133+Historicals!B137</f>
        <v>11779</v>
      </c>
      <c r="C172" s="9">
        <f>Historicals!C125+Historicals!C129+Historicals!C133+Historicals!C137</f>
        <v>11885</v>
      </c>
      <c r="D172" s="9">
        <f>Historicals!D125+Historicals!D129+Historicals!D133+Historicals!D137</f>
        <v>12707</v>
      </c>
      <c r="E172" s="9"/>
      <c r="F172" s="9"/>
      <c r="G172" s="9"/>
      <c r="H172" s="9"/>
      <c r="I172" s="9"/>
      <c r="J172" s="9"/>
      <c r="K172" s="9"/>
      <c r="L172" s="9"/>
      <c r="M172" s="9"/>
      <c r="N172" s="9"/>
      <c r="P172" s="83"/>
      <c r="R172" s="58"/>
      <c r="S172" s="58"/>
      <c r="T172" s="58"/>
      <c r="U172" s="58"/>
    </row>
    <row r="173" spans="1:21" x14ac:dyDescent="0.35">
      <c r="A173" s="9" t="s">
        <v>129</v>
      </c>
      <c r="B173" s="9">
        <f>B174+B175</f>
        <v>2578</v>
      </c>
      <c r="C173" s="9">
        <f>SUM(Historicals!C156:C159)+C174</f>
        <v>2789</v>
      </c>
      <c r="D173" s="9">
        <f>SUM(Historicals!D156:D159)+D174</f>
        <v>2487</v>
      </c>
      <c r="E173" s="9"/>
      <c r="F173" s="9"/>
      <c r="G173" s="9"/>
      <c r="H173" s="9"/>
      <c r="I173" s="9"/>
      <c r="J173" s="43"/>
      <c r="K173" s="43"/>
      <c r="L173" s="43"/>
      <c r="M173" s="43"/>
      <c r="N173" s="43"/>
      <c r="P173" s="83"/>
      <c r="R173" s="58"/>
      <c r="S173" s="43"/>
      <c r="T173" s="43"/>
      <c r="U173" s="43"/>
    </row>
    <row r="174" spans="1:21" x14ac:dyDescent="0.35">
      <c r="A174" s="9" t="s">
        <v>131</v>
      </c>
      <c r="B174" s="9">
        <f>Historicals!B195</f>
        <v>136</v>
      </c>
      <c r="C174" s="9">
        <f>Historicals!C195</f>
        <v>0</v>
      </c>
      <c r="D174" s="9">
        <f>Historicals!D195</f>
        <v>0</v>
      </c>
      <c r="E174" s="9"/>
      <c r="F174" s="9"/>
      <c r="G174" s="9"/>
      <c r="H174" s="9"/>
      <c r="I174" s="9"/>
      <c r="J174" s="9"/>
      <c r="K174" s="9"/>
      <c r="L174" s="9"/>
      <c r="M174" s="9"/>
      <c r="N174" s="9"/>
      <c r="P174" s="83"/>
      <c r="R174" s="58"/>
      <c r="S174" s="58"/>
      <c r="T174" s="58"/>
      <c r="U174" s="58"/>
    </row>
    <row r="175" spans="1:21" x14ac:dyDescent="0.35">
      <c r="A175" s="9" t="s">
        <v>133</v>
      </c>
      <c r="B175" s="9">
        <f>Historicals!B156+Historicals!B157+Historicals!B158+Historicals!B159</f>
        <v>2442</v>
      </c>
      <c r="C175" s="9">
        <f>Historicals!C156+Historicals!C157+Historicals!C158+Historicals!C159</f>
        <v>2789</v>
      </c>
      <c r="D175" s="9">
        <f>Historicals!D156+Historicals!D157+Historicals!D158+Historicals!D159</f>
        <v>2487</v>
      </c>
      <c r="E175" s="3"/>
      <c r="F175" s="3"/>
      <c r="G175" s="3"/>
      <c r="H175" s="3"/>
      <c r="I175" s="3"/>
      <c r="J175" s="3"/>
      <c r="K175" s="3"/>
      <c r="L175" s="3"/>
      <c r="M175" s="3"/>
      <c r="N175" s="3"/>
      <c r="P175" s="83"/>
      <c r="R175" s="58"/>
      <c r="S175" s="59"/>
      <c r="T175" s="59"/>
      <c r="U175" s="59"/>
    </row>
    <row r="176" spans="1:21" x14ac:dyDescent="0.35">
      <c r="A176" s="9" t="s">
        <v>134</v>
      </c>
      <c r="B176" s="9">
        <f>Historicals!B183</f>
        <v>288</v>
      </c>
      <c r="C176" s="9">
        <f>Historicals!C183</f>
        <v>0</v>
      </c>
      <c r="D176" s="9">
        <f>Historicals!D183</f>
        <v>0</v>
      </c>
      <c r="E176" s="9"/>
      <c r="F176" s="9"/>
      <c r="G176" s="9"/>
      <c r="H176" s="9"/>
      <c r="I176" s="9"/>
      <c r="J176" s="9"/>
      <c r="K176" s="9"/>
      <c r="L176" s="9"/>
      <c r="M176" s="9"/>
      <c r="N176" s="9"/>
      <c r="P176" s="83"/>
      <c r="R176" s="58"/>
      <c r="S176" s="58"/>
      <c r="T176" s="58"/>
      <c r="U176" s="58"/>
    </row>
    <row r="177" spans="1:21" x14ac:dyDescent="0.35">
      <c r="A177" s="9" t="s">
        <v>140</v>
      </c>
      <c r="B177" s="9">
        <f>Historicals!B171</f>
        <v>806</v>
      </c>
      <c r="C177" s="9">
        <f>Historicals!C171</f>
        <v>971</v>
      </c>
      <c r="D177" s="9">
        <f>Historicals!D171</f>
        <v>0</v>
      </c>
      <c r="E177" s="9"/>
      <c r="F177" s="9"/>
      <c r="G177" s="9"/>
      <c r="H177" s="9"/>
      <c r="I177" s="9"/>
      <c r="J177" s="43"/>
      <c r="K177" s="43"/>
      <c r="L177" s="43"/>
      <c r="M177" s="43"/>
      <c r="N177" s="43"/>
      <c r="P177" s="83"/>
      <c r="R177" s="58"/>
      <c r="S177" s="43"/>
      <c r="T177" s="43"/>
      <c r="U177" s="43"/>
    </row>
    <row r="178" spans="1:21" x14ac:dyDescent="0.35">
      <c r="A178" s="68" t="s">
        <v>103</v>
      </c>
      <c r="B178" s="38"/>
      <c r="C178" s="38"/>
      <c r="D178" s="38"/>
      <c r="E178" s="38"/>
      <c r="F178" s="38"/>
      <c r="G178" s="38"/>
      <c r="H178" s="38"/>
      <c r="I178" s="38"/>
      <c r="J178" s="34"/>
      <c r="K178" s="34"/>
      <c r="L178" s="34"/>
      <c r="M178" s="34"/>
      <c r="N178" s="34"/>
      <c r="P178" s="83"/>
    </row>
    <row r="179" spans="1:21" x14ac:dyDescent="0.35">
      <c r="A179" s="9" t="s">
        <v>135</v>
      </c>
      <c r="B179" s="9">
        <f>Historicals!B143</f>
        <v>1982</v>
      </c>
      <c r="C179" s="9">
        <f>Historicals!C143</f>
        <v>1955</v>
      </c>
      <c r="D179" s="9">
        <f>Historicals!D143</f>
        <v>2042</v>
      </c>
      <c r="E179" s="9">
        <f>Historicals!E143</f>
        <v>1886</v>
      </c>
      <c r="F179" s="9">
        <f>Historicals!F143</f>
        <v>1906</v>
      </c>
      <c r="G179" s="9">
        <f>Historicals!G143</f>
        <v>1846</v>
      </c>
      <c r="H179" s="9">
        <f>Historicals!H143</f>
        <v>2205</v>
      </c>
      <c r="I179" s="9">
        <f>Historicals!I143</f>
        <v>2346</v>
      </c>
      <c r="J179" s="9">
        <f>I179+I179*J180</f>
        <v>2359.6222915500816</v>
      </c>
      <c r="K179" s="9">
        <f t="shared" ref="K179:N179" si="347">J179+J179*K180</f>
        <v>2373.3236823444408</v>
      </c>
      <c r="L179" s="9">
        <f t="shared" si="347"/>
        <v>2387.104631681018</v>
      </c>
      <c r="M179" s="9">
        <f t="shared" si="347"/>
        <v>2400.9656015247133</v>
      </c>
      <c r="N179" s="9">
        <f t="shared" si="347"/>
        <v>2414.9070565228749</v>
      </c>
      <c r="O179" s="1" t="s">
        <v>225</v>
      </c>
      <c r="P179" s="83"/>
    </row>
    <row r="180" spans="1:21" x14ac:dyDescent="0.35">
      <c r="A180" s="39" t="s">
        <v>128</v>
      </c>
      <c r="B180" s="42" t="str">
        <f t="shared" ref="B180:I180" si="348">+IFERROR(B179/A179-1,"nm")</f>
        <v>nm</v>
      </c>
      <c r="C180" s="42">
        <f t="shared" si="348"/>
        <v>-1.3622603430877955E-2</v>
      </c>
      <c r="D180" s="42">
        <f t="shared" si="348"/>
        <v>4.4501278772378416E-2</v>
      </c>
      <c r="E180" s="42">
        <f t="shared" si="348"/>
        <v>-7.6395690499510338E-2</v>
      </c>
      <c r="F180" s="42">
        <f t="shared" si="348"/>
        <v>1.0604453870625585E-2</v>
      </c>
      <c r="G180" s="42">
        <f t="shared" si="348"/>
        <v>-3.147953830010497E-2</v>
      </c>
      <c r="H180" s="42">
        <f t="shared" si="348"/>
        <v>0.19447453954496208</v>
      </c>
      <c r="I180" s="42">
        <f t="shared" si="348"/>
        <v>6.3945578231292544E-2</v>
      </c>
      <c r="J180" s="42">
        <f>AVERAGE(C180,D180,E180,F180,I180)</f>
        <v>5.8066033887816506E-3</v>
      </c>
      <c r="K180" s="42">
        <f>J180</f>
        <v>5.8066033887816506E-3</v>
      </c>
      <c r="L180" s="42">
        <f t="shared" ref="L180:N180" si="349">K180</f>
        <v>5.8066033887816506E-3</v>
      </c>
      <c r="M180" s="42">
        <f t="shared" si="349"/>
        <v>5.8066033887816506E-3</v>
      </c>
      <c r="N180" s="42">
        <f t="shared" si="349"/>
        <v>5.8066033887816506E-3</v>
      </c>
      <c r="P180" s="83"/>
    </row>
    <row r="181" spans="1:21" x14ac:dyDescent="0.35">
      <c r="A181" s="9" t="s">
        <v>129</v>
      </c>
      <c r="B181" s="9">
        <f>B188+B184</f>
        <v>535</v>
      </c>
      <c r="C181" s="9">
        <f t="shared" ref="C181:I181" si="350">C188+C184</f>
        <v>514</v>
      </c>
      <c r="D181" s="9">
        <f t="shared" si="350"/>
        <v>505</v>
      </c>
      <c r="E181" s="9">
        <f t="shared" si="350"/>
        <v>343</v>
      </c>
      <c r="F181" s="9">
        <f t="shared" si="350"/>
        <v>334</v>
      </c>
      <c r="G181" s="9">
        <f t="shared" si="350"/>
        <v>322</v>
      </c>
      <c r="H181" s="9">
        <f t="shared" si="350"/>
        <v>569</v>
      </c>
      <c r="I181" s="9">
        <f t="shared" si="350"/>
        <v>691</v>
      </c>
      <c r="J181" s="43">
        <f>+J179*J183</f>
        <v>563.0837118616729</v>
      </c>
      <c r="K181" s="43">
        <f>+K179*K183</f>
        <v>566.35331565113654</v>
      </c>
      <c r="L181" s="43">
        <f>+L179*L183</f>
        <v>569.64190473304416</v>
      </c>
      <c r="M181" s="43">
        <f>+M179*M183</f>
        <v>572.9495893474591</v>
      </c>
      <c r="N181" s="43">
        <f>+N179*N183</f>
        <v>576.27648037456515</v>
      </c>
      <c r="O181" s="1" t="s">
        <v>218</v>
      </c>
      <c r="P181" s="83"/>
      <c r="R181" s="58"/>
      <c r="S181" s="43"/>
      <c r="T181" s="43"/>
      <c r="U181" s="43"/>
    </row>
    <row r="182" spans="1:21" x14ac:dyDescent="0.35">
      <c r="A182" s="41" t="s">
        <v>128</v>
      </c>
      <c r="B182" s="42" t="str">
        <f t="shared" ref="B182:N182" si="351">+IFERROR(B181/A181-1,"nm")</f>
        <v>nm</v>
      </c>
      <c r="C182" s="42">
        <f t="shared" si="351"/>
        <v>-3.9252336448598157E-2</v>
      </c>
      <c r="D182" s="42">
        <f t="shared" si="351"/>
        <v>-1.7509727626459193E-2</v>
      </c>
      <c r="E182" s="42">
        <f t="shared" si="351"/>
        <v>-0.32079207920792074</v>
      </c>
      <c r="F182" s="42">
        <f t="shared" si="351"/>
        <v>-2.6239067055393583E-2</v>
      </c>
      <c r="G182" s="42">
        <f t="shared" si="351"/>
        <v>-3.59281437125748E-2</v>
      </c>
      <c r="H182" s="42">
        <f t="shared" si="351"/>
        <v>0.76708074534161486</v>
      </c>
      <c r="I182" s="42">
        <f t="shared" si="351"/>
        <v>0.21441124780316345</v>
      </c>
      <c r="J182" s="42">
        <f t="shared" si="351"/>
        <v>-0.18511763840568318</v>
      </c>
      <c r="K182" s="42">
        <f>+IFERROR(K181/J181-1,"nm")</f>
        <v>5.8066033887815838E-3</v>
      </c>
      <c r="L182" s="42">
        <f t="shared" si="351"/>
        <v>5.8066033887815838E-3</v>
      </c>
      <c r="M182" s="42">
        <f t="shared" si="351"/>
        <v>5.8066033887815838E-3</v>
      </c>
      <c r="N182" s="42">
        <f t="shared" si="351"/>
        <v>5.8066033887818058E-3</v>
      </c>
      <c r="P182" s="83"/>
      <c r="R182" s="79"/>
      <c r="S182" s="73"/>
      <c r="T182" s="73"/>
      <c r="U182" s="73"/>
    </row>
    <row r="183" spans="1:21" x14ac:dyDescent="0.35">
      <c r="A183" s="41" t="s">
        <v>130</v>
      </c>
      <c r="B183" s="42">
        <f>+IFERROR(B181/B179,"nm")</f>
        <v>0.26992936427850656</v>
      </c>
      <c r="C183" s="42">
        <f t="shared" ref="C183:I183" si="352">+IFERROR(C181/C179,"nm")</f>
        <v>0.26291560102301792</v>
      </c>
      <c r="D183" s="42">
        <f t="shared" si="352"/>
        <v>0.24730656219392752</v>
      </c>
      <c r="E183" s="42">
        <f t="shared" si="352"/>
        <v>0.18186638388123011</v>
      </c>
      <c r="F183" s="42">
        <f t="shared" si="352"/>
        <v>0.17523609653725078</v>
      </c>
      <c r="G183" s="42">
        <f t="shared" si="352"/>
        <v>0.17443120260021669</v>
      </c>
      <c r="H183" s="42">
        <f t="shared" si="352"/>
        <v>0.25804988662131517</v>
      </c>
      <c r="I183" s="42">
        <f t="shared" si="352"/>
        <v>0.29454390451832907</v>
      </c>
      <c r="J183" s="44">
        <f>AVERAGE(B183:F183,I183)</f>
        <v>0.238632985405377</v>
      </c>
      <c r="K183" s="44">
        <f>+J183</f>
        <v>0.238632985405377</v>
      </c>
      <c r="L183" s="44">
        <f t="shared" ref="L183:N183" si="353">+K183</f>
        <v>0.238632985405377</v>
      </c>
      <c r="M183" s="44">
        <f t="shared" si="353"/>
        <v>0.238632985405377</v>
      </c>
      <c r="N183" s="44">
        <f t="shared" si="353"/>
        <v>0.238632985405377</v>
      </c>
      <c r="P183" s="83"/>
      <c r="R183" s="79"/>
      <c r="S183" s="80"/>
      <c r="T183" s="80"/>
      <c r="U183" s="80"/>
    </row>
    <row r="184" spans="1:21" x14ac:dyDescent="0.35">
      <c r="A184" s="9" t="s">
        <v>131</v>
      </c>
      <c r="B184" s="9">
        <f>Historicals!B198</f>
        <v>18</v>
      </c>
      <c r="C184" s="9">
        <f>Historicals!C198</f>
        <v>27</v>
      </c>
      <c r="D184" s="9">
        <f>Historicals!D198</f>
        <v>28</v>
      </c>
      <c r="E184" s="9">
        <f>Historicals!E198</f>
        <v>33</v>
      </c>
      <c r="F184" s="9">
        <f>Historicals!F198</f>
        <v>31</v>
      </c>
      <c r="G184" s="9">
        <f>Historicals!G198</f>
        <v>25</v>
      </c>
      <c r="H184" s="9">
        <f>Historicals!H198</f>
        <v>26</v>
      </c>
      <c r="I184" s="9">
        <f>Historicals!I198</f>
        <v>22</v>
      </c>
      <c r="J184" s="9">
        <f>J194*J187</f>
        <v>34.372072840499186</v>
      </c>
      <c r="K184" s="9">
        <f t="shared" ref="K184:N184" si="354">K194*K187</f>
        <v>34.571657835134275</v>
      </c>
      <c r="L184" s="9">
        <f t="shared" si="354"/>
        <v>34.772401740675569</v>
      </c>
      <c r="M184" s="9">
        <f t="shared" si="354"/>
        <v>34.974311286459049</v>
      </c>
      <c r="N184" s="9">
        <f t="shared" si="354"/>
        <v>35.177393240895306</v>
      </c>
      <c r="O184" s="1" t="s">
        <v>219</v>
      </c>
      <c r="P184" s="83"/>
      <c r="R184" s="58"/>
      <c r="S184" s="58"/>
      <c r="T184" s="58"/>
      <c r="U184" s="58"/>
    </row>
    <row r="185" spans="1:21" x14ac:dyDescent="0.35">
      <c r="A185" s="41" t="s">
        <v>128</v>
      </c>
      <c r="B185" s="42" t="str">
        <f t="shared" ref="B185:N185" si="355">+IFERROR(B184/A184-1,"nm")</f>
        <v>nm</v>
      </c>
      <c r="C185" s="42">
        <f t="shared" si="355"/>
        <v>0.5</v>
      </c>
      <c r="D185" s="42">
        <f t="shared" si="355"/>
        <v>3.7037037037036979E-2</v>
      </c>
      <c r="E185" s="42">
        <f t="shared" si="355"/>
        <v>0.1785714285714286</v>
      </c>
      <c r="F185" s="42">
        <f t="shared" si="355"/>
        <v>-6.0606060606060552E-2</v>
      </c>
      <c r="G185" s="42">
        <f t="shared" si="355"/>
        <v>-0.19354838709677424</v>
      </c>
      <c r="H185" s="42">
        <f t="shared" si="355"/>
        <v>4.0000000000000036E-2</v>
      </c>
      <c r="I185" s="42">
        <f t="shared" si="355"/>
        <v>-0.15384615384615385</v>
      </c>
      <c r="J185" s="42">
        <f t="shared" si="355"/>
        <v>0.56236694729541759</v>
      </c>
      <c r="K185" s="42">
        <f>+IFERROR(K184/J184-1,"nm")</f>
        <v>5.8066033887815838E-3</v>
      </c>
      <c r="L185" s="42">
        <f t="shared" si="355"/>
        <v>5.8066033887818058E-3</v>
      </c>
      <c r="M185" s="42">
        <f t="shared" si="355"/>
        <v>5.8066033887815838E-3</v>
      </c>
      <c r="N185" s="42">
        <f t="shared" si="355"/>
        <v>5.8066033887815838E-3</v>
      </c>
      <c r="P185" s="83"/>
      <c r="R185" s="79"/>
      <c r="S185" s="73"/>
      <c r="T185" s="73"/>
      <c r="U185" s="73"/>
    </row>
    <row r="186" spans="1:21" x14ac:dyDescent="0.35">
      <c r="A186" s="41" t="s">
        <v>132</v>
      </c>
      <c r="B186" s="42">
        <f t="shared" ref="B186:H186" si="356">+IFERROR(B184/B$179,"nm")</f>
        <v>9.0817356205852677E-3</v>
      </c>
      <c r="C186" s="42">
        <f t="shared" si="356"/>
        <v>1.3810741687979539E-2</v>
      </c>
      <c r="D186" s="42">
        <f t="shared" si="356"/>
        <v>1.3712047012732615E-2</v>
      </c>
      <c r="E186" s="42">
        <f t="shared" si="356"/>
        <v>1.7497348886532343E-2</v>
      </c>
      <c r="F186" s="42">
        <f t="shared" si="356"/>
        <v>1.6264428121720881E-2</v>
      </c>
      <c r="G186" s="42">
        <f t="shared" si="356"/>
        <v>1.3542795232936078E-2</v>
      </c>
      <c r="H186" s="42">
        <f t="shared" si="356"/>
        <v>1.1791383219954649E-2</v>
      </c>
      <c r="I186" s="42">
        <f>+IFERROR(I184/I$179,"nm")</f>
        <v>9.3776641091219103E-3</v>
      </c>
      <c r="J186" s="42">
        <f t="shared" ref="J186:N186" si="357">+IFERROR(J184/J$179,"nm")</f>
        <v>1.4566768996710701E-2</v>
      </c>
      <c r="K186" s="42">
        <f t="shared" si="357"/>
        <v>1.4566768996710701E-2</v>
      </c>
      <c r="L186" s="42">
        <f t="shared" si="357"/>
        <v>1.4566768996710701E-2</v>
      </c>
      <c r="M186" s="42">
        <f t="shared" si="357"/>
        <v>1.4566768996710699E-2</v>
      </c>
      <c r="N186" s="42">
        <f t="shared" si="357"/>
        <v>1.4566768996710699E-2</v>
      </c>
      <c r="P186" s="83"/>
      <c r="R186" s="79"/>
      <c r="S186" s="73"/>
      <c r="T186" s="73"/>
      <c r="U186" s="73"/>
    </row>
    <row r="187" spans="1:21" x14ac:dyDescent="0.35">
      <c r="A187" s="41" t="s">
        <v>139</v>
      </c>
      <c r="B187" s="42">
        <f t="shared" ref="B187:I187" si="358">+IFERROR(B184/B194,"nm")</f>
        <v>0.14754098360655737</v>
      </c>
      <c r="C187" s="42">
        <f t="shared" si="358"/>
        <v>0.216</v>
      </c>
      <c r="D187" s="42">
        <f t="shared" si="358"/>
        <v>0.224</v>
      </c>
      <c r="E187" s="42">
        <f t="shared" si="358"/>
        <v>0.28695652173913044</v>
      </c>
      <c r="F187" s="42">
        <f t="shared" si="358"/>
        <v>0.31</v>
      </c>
      <c r="G187" s="42">
        <f t="shared" si="358"/>
        <v>0.3125</v>
      </c>
      <c r="H187" s="42">
        <f t="shared" si="358"/>
        <v>0.41269841269841268</v>
      </c>
      <c r="I187" s="42">
        <f t="shared" si="358"/>
        <v>0.44897959183673469</v>
      </c>
      <c r="J187" s="44">
        <f>AVERAGE(B187:F187,I187)</f>
        <v>0.27224618286373709</v>
      </c>
      <c r="K187" s="44">
        <f>+J187</f>
        <v>0.27224618286373709</v>
      </c>
      <c r="L187" s="44">
        <f t="shared" ref="L187:N187" si="359">+K187</f>
        <v>0.27224618286373709</v>
      </c>
      <c r="M187" s="44">
        <f t="shared" si="359"/>
        <v>0.27224618286373709</v>
      </c>
      <c r="N187" s="44">
        <f t="shared" si="359"/>
        <v>0.27224618286373709</v>
      </c>
      <c r="P187" s="83"/>
      <c r="R187" s="79"/>
      <c r="S187" s="80"/>
      <c r="T187" s="80"/>
      <c r="U187" s="80"/>
    </row>
    <row r="188" spans="1:21" x14ac:dyDescent="0.35">
      <c r="A188" s="9" t="s">
        <v>133</v>
      </c>
      <c r="B188" s="9">
        <f>Historicals!B162</f>
        <v>517</v>
      </c>
      <c r="C188" s="9">
        <f>Historicals!C162</f>
        <v>487</v>
      </c>
      <c r="D188" s="9">
        <f>Historicals!D162</f>
        <v>477</v>
      </c>
      <c r="E188" s="9">
        <f>Historicals!E162</f>
        <v>310</v>
      </c>
      <c r="F188" s="9">
        <f>Historicals!F162</f>
        <v>303</v>
      </c>
      <c r="G188" s="9">
        <f>Historicals!G162</f>
        <v>297</v>
      </c>
      <c r="H188" s="9">
        <f>Historicals!H162</f>
        <v>543</v>
      </c>
      <c r="I188" s="9">
        <f>Historicals!I162</f>
        <v>669</v>
      </c>
      <c r="J188" s="9">
        <f>J181-J184</f>
        <v>528.71163902117371</v>
      </c>
      <c r="K188" s="9">
        <f t="shared" ref="K188:N188" si="360">K181-K184</f>
        <v>531.78165781600228</v>
      </c>
      <c r="L188" s="9">
        <f t="shared" si="360"/>
        <v>534.86950299236855</v>
      </c>
      <c r="M188" s="9">
        <f t="shared" si="360"/>
        <v>537.97527806100004</v>
      </c>
      <c r="N188" s="9">
        <f t="shared" si="360"/>
        <v>541.09908713366985</v>
      </c>
      <c r="O188" s="1" t="s">
        <v>216</v>
      </c>
      <c r="P188" s="83"/>
    </row>
    <row r="189" spans="1:21" x14ac:dyDescent="0.35">
      <c r="A189" s="41" t="s">
        <v>128</v>
      </c>
      <c r="B189" s="42" t="str">
        <f t="shared" ref="B189:N189" si="361">+IFERROR(B188/A188-1,"nm")</f>
        <v>nm</v>
      </c>
      <c r="C189" s="42">
        <f t="shared" si="361"/>
        <v>-5.8027079303675011E-2</v>
      </c>
      <c r="D189" s="42">
        <f t="shared" si="361"/>
        <v>-2.0533880903490731E-2</v>
      </c>
      <c r="E189" s="42">
        <f t="shared" si="361"/>
        <v>-0.35010482180293501</v>
      </c>
      <c r="F189" s="42">
        <f t="shared" si="361"/>
        <v>-2.2580645161290325E-2</v>
      </c>
      <c r="G189" s="42">
        <f t="shared" si="361"/>
        <v>-1.980198019801982E-2</v>
      </c>
      <c r="H189" s="42">
        <f t="shared" si="361"/>
        <v>0.82828282828282829</v>
      </c>
      <c r="I189" s="42">
        <f t="shared" si="361"/>
        <v>0.2320441988950277</v>
      </c>
      <c r="J189" s="42">
        <f t="shared" si="361"/>
        <v>-0.20969859638090627</v>
      </c>
      <c r="K189" s="42">
        <f>+IFERROR(K188/J188-1,"nm")</f>
        <v>5.8066033887815838E-3</v>
      </c>
      <c r="L189" s="42">
        <f t="shared" si="361"/>
        <v>5.8066033887815838E-3</v>
      </c>
      <c r="M189" s="42">
        <f t="shared" si="361"/>
        <v>5.8066033887818058E-3</v>
      </c>
      <c r="N189" s="42">
        <f t="shared" si="361"/>
        <v>5.8066033887818058E-3</v>
      </c>
      <c r="P189" s="83"/>
    </row>
    <row r="190" spans="1:21" x14ac:dyDescent="0.35">
      <c r="A190" s="41" t="s">
        <v>130</v>
      </c>
      <c r="B190" s="42">
        <f t="shared" ref="B190:H190" si="362">+IFERROR(B188/B$179,"nm")</f>
        <v>0.26084762865792127</v>
      </c>
      <c r="C190" s="42">
        <f t="shared" si="362"/>
        <v>0.24910485933503837</v>
      </c>
      <c r="D190" s="42">
        <f t="shared" si="362"/>
        <v>0.23359451518119489</v>
      </c>
      <c r="E190" s="42">
        <f t="shared" si="362"/>
        <v>0.16436903499469777</v>
      </c>
      <c r="F190" s="42">
        <f t="shared" si="362"/>
        <v>0.1589716684155299</v>
      </c>
      <c r="G190" s="42">
        <f t="shared" si="362"/>
        <v>0.16088840736728061</v>
      </c>
      <c r="H190" s="42">
        <f t="shared" si="362"/>
        <v>0.24625850340136055</v>
      </c>
      <c r="I190" s="42">
        <f>+IFERROR(I188/I$179,"nm")</f>
        <v>0.28516624040920718</v>
      </c>
      <c r="J190" s="42">
        <f>+IFERROR(J188/J179,"nm")</f>
        <v>0.22406621640866631</v>
      </c>
      <c r="K190" s="42">
        <f t="shared" ref="K190:N190" si="363">+IFERROR(K188/K179,"nm")</f>
        <v>0.22406621640866631</v>
      </c>
      <c r="L190" s="42">
        <f t="shared" si="363"/>
        <v>0.22406621640866628</v>
      </c>
      <c r="M190" s="42">
        <f t="shared" si="363"/>
        <v>0.22406621640866628</v>
      </c>
      <c r="N190" s="42">
        <f t="shared" si="363"/>
        <v>0.22406621640866631</v>
      </c>
      <c r="P190" s="83"/>
    </row>
    <row r="191" spans="1:21" x14ac:dyDescent="0.35">
      <c r="A191" s="9" t="s">
        <v>134</v>
      </c>
      <c r="B191" s="9">
        <f>Historicals!B186</f>
        <v>69</v>
      </c>
      <c r="C191" s="9">
        <f>Historicals!C186</f>
        <v>39</v>
      </c>
      <c r="D191" s="9">
        <f>Historicals!D186</f>
        <v>30</v>
      </c>
      <c r="E191" s="9">
        <f>Historicals!E186</f>
        <v>22</v>
      </c>
      <c r="F191" s="9">
        <f>Historicals!F186</f>
        <v>18</v>
      </c>
      <c r="G191" s="9">
        <f>Historicals!G186</f>
        <v>12</v>
      </c>
      <c r="H191" s="9">
        <f>Historicals!H186</f>
        <v>7</v>
      </c>
      <c r="I191" s="9">
        <f>Historicals!I186</f>
        <v>9</v>
      </c>
      <c r="J191" s="9">
        <f>J179*J193</f>
        <v>37.124222952239414</v>
      </c>
      <c r="K191" s="9">
        <f>K179*K193</f>
        <v>37.33978859103977</v>
      </c>
      <c r="L191" s="9">
        <f>L179*L193</f>
        <v>37.5566059340089</v>
      </c>
      <c r="M191" s="9">
        <f>M179*M193</f>
        <v>37.774682249296447</v>
      </c>
      <c r="N191" s="9">
        <f>N179*N193</f>
        <v>37.994024847255361</v>
      </c>
      <c r="O191" s="1" t="s">
        <v>220</v>
      </c>
      <c r="P191" s="83"/>
      <c r="R191" s="58"/>
      <c r="S191" s="58"/>
      <c r="T191" s="58"/>
      <c r="U191" s="58"/>
    </row>
    <row r="192" spans="1:21" x14ac:dyDescent="0.35">
      <c r="A192" s="41" t="s">
        <v>128</v>
      </c>
      <c r="B192" s="42" t="str">
        <f t="shared" ref="B192:N192" si="364">+IFERROR(B191/A191-1,"nm")</f>
        <v>nm</v>
      </c>
      <c r="C192" s="42">
        <f t="shared" si="364"/>
        <v>-0.43478260869565222</v>
      </c>
      <c r="D192" s="42">
        <f t="shared" si="364"/>
        <v>-0.23076923076923073</v>
      </c>
      <c r="E192" s="42">
        <f t="shared" si="364"/>
        <v>-0.26666666666666672</v>
      </c>
      <c r="F192" s="42">
        <f t="shared" si="364"/>
        <v>-0.18181818181818177</v>
      </c>
      <c r="G192" s="42">
        <f t="shared" si="364"/>
        <v>-0.33333333333333337</v>
      </c>
      <c r="H192" s="42">
        <f t="shared" si="364"/>
        <v>-0.41666666666666663</v>
      </c>
      <c r="I192" s="42">
        <f t="shared" si="364"/>
        <v>0.28571428571428581</v>
      </c>
      <c r="J192" s="42">
        <f t="shared" si="364"/>
        <v>3.1249136613599351</v>
      </c>
      <c r="K192" s="42">
        <f>+IFERROR(K191/J191-1,"nm")</f>
        <v>5.8066033887815838E-3</v>
      </c>
      <c r="L192" s="42">
        <f t="shared" si="364"/>
        <v>5.8066033887818058E-3</v>
      </c>
      <c r="M192" s="42">
        <f t="shared" si="364"/>
        <v>5.8066033887815838E-3</v>
      </c>
      <c r="N192" s="42">
        <f t="shared" si="364"/>
        <v>5.8066033887815838E-3</v>
      </c>
      <c r="P192" s="83"/>
      <c r="R192" s="79"/>
      <c r="S192" s="73"/>
      <c r="T192" s="73"/>
      <c r="U192" s="73"/>
    </row>
    <row r="193" spans="1:21" x14ac:dyDescent="0.35">
      <c r="A193" s="41" t="s">
        <v>132</v>
      </c>
      <c r="B193" s="42">
        <f t="shared" ref="B193:H193" si="365">+IFERROR(B191/B$179,"nm")</f>
        <v>3.481331987891019E-2</v>
      </c>
      <c r="C193" s="42">
        <f t="shared" si="365"/>
        <v>1.9948849104859334E-2</v>
      </c>
      <c r="D193" s="42">
        <f t="shared" si="365"/>
        <v>1.4691478942213516E-2</v>
      </c>
      <c r="E193" s="42">
        <f t="shared" si="365"/>
        <v>1.166489925768823E-2</v>
      </c>
      <c r="F193" s="42">
        <f t="shared" si="365"/>
        <v>9.4438614900314802E-3</v>
      </c>
      <c r="G193" s="42">
        <f t="shared" si="365"/>
        <v>6.5005417118093175E-3</v>
      </c>
      <c r="H193" s="42">
        <f t="shared" si="365"/>
        <v>3.1746031746031746E-3</v>
      </c>
      <c r="I193" s="42">
        <f>+IFERROR(I191/I$179,"nm")</f>
        <v>3.8363171355498722E-3</v>
      </c>
      <c r="J193" s="44">
        <f>AVERAGE(B193:F193,I193)</f>
        <v>1.573312096820877E-2</v>
      </c>
      <c r="K193" s="44">
        <f>+J193</f>
        <v>1.573312096820877E-2</v>
      </c>
      <c r="L193" s="44">
        <f t="shared" ref="L193:N193" si="366">+K193</f>
        <v>1.573312096820877E-2</v>
      </c>
      <c r="M193" s="44">
        <f t="shared" si="366"/>
        <v>1.573312096820877E-2</v>
      </c>
      <c r="N193" s="44">
        <f t="shared" si="366"/>
        <v>1.573312096820877E-2</v>
      </c>
      <c r="P193" s="83"/>
      <c r="R193" s="79"/>
      <c r="S193" s="80"/>
      <c r="T193" s="80"/>
      <c r="U193" s="80"/>
    </row>
    <row r="194" spans="1:21" x14ac:dyDescent="0.35">
      <c r="A194" s="9" t="s">
        <v>140</v>
      </c>
      <c r="B194" s="9">
        <f>Historicals!B174</f>
        <v>122</v>
      </c>
      <c r="C194" s="9">
        <f>Historicals!C174</f>
        <v>125</v>
      </c>
      <c r="D194" s="9">
        <f>Historicals!D174</f>
        <v>125</v>
      </c>
      <c r="E194" s="9">
        <f>Historicals!E174</f>
        <v>115</v>
      </c>
      <c r="F194" s="9">
        <f>Historicals!F174</f>
        <v>100</v>
      </c>
      <c r="G194" s="9">
        <f>Historicals!G174</f>
        <v>80</v>
      </c>
      <c r="H194" s="9">
        <f>Historicals!H174</f>
        <v>63</v>
      </c>
      <c r="I194" s="9">
        <f>Historicals!I174</f>
        <v>49</v>
      </c>
      <c r="J194" s="43">
        <f>+J179*J196</f>
        <v>126.2536446937178</v>
      </c>
      <c r="K194" s="43">
        <f>+K179*K196</f>
        <v>126.98674953484237</v>
      </c>
      <c r="L194" s="43">
        <f>+L179*L196</f>
        <v>127.72411122502176</v>
      </c>
      <c r="M194" s="43">
        <f>+M179*M196</f>
        <v>128.46575448209009</v>
      </c>
      <c r="N194" s="43">
        <f>+N179*N196</f>
        <v>129.21170416740819</v>
      </c>
      <c r="O194" s="1" t="s">
        <v>220</v>
      </c>
      <c r="P194" s="83"/>
      <c r="R194" s="58"/>
      <c r="S194" s="43"/>
      <c r="T194" s="43"/>
      <c r="U194" s="43"/>
    </row>
    <row r="195" spans="1:21" x14ac:dyDescent="0.35">
      <c r="A195" s="41" t="s">
        <v>128</v>
      </c>
      <c r="B195" s="42" t="str">
        <f t="shared" ref="B195:H195" si="367">+IFERROR(B194/A194-1,"nm")</f>
        <v>nm</v>
      </c>
      <c r="C195" s="42">
        <f t="shared" si="367"/>
        <v>2.4590163934426146E-2</v>
      </c>
      <c r="D195" s="42">
        <f t="shared" si="367"/>
        <v>0</v>
      </c>
      <c r="E195" s="42">
        <f t="shared" si="367"/>
        <v>-7.999999999999996E-2</v>
      </c>
      <c r="F195" s="42">
        <f t="shared" si="367"/>
        <v>-0.13043478260869568</v>
      </c>
      <c r="G195" s="42">
        <f t="shared" si="367"/>
        <v>-0.19999999999999996</v>
      </c>
      <c r="H195" s="42">
        <f t="shared" si="367"/>
        <v>-0.21250000000000002</v>
      </c>
      <c r="I195" s="42">
        <f>+IFERROR(I194/H194-1,"nm")</f>
        <v>-0.22222222222222221</v>
      </c>
      <c r="J195" s="42">
        <f t="shared" ref="J195:N195" si="368">+IFERROR(J194/I194-1,"nm")</f>
        <v>1.5766049937493429</v>
      </c>
      <c r="K195" s="42">
        <f t="shared" si="368"/>
        <v>5.8066033887815838E-3</v>
      </c>
      <c r="L195" s="42">
        <f t="shared" si="368"/>
        <v>5.8066033887815838E-3</v>
      </c>
      <c r="M195" s="42">
        <f t="shared" si="368"/>
        <v>5.8066033887815838E-3</v>
      </c>
      <c r="N195" s="42">
        <f t="shared" si="368"/>
        <v>5.8066033887815838E-3</v>
      </c>
      <c r="P195" s="83"/>
      <c r="R195" s="79"/>
      <c r="S195" s="73"/>
      <c r="T195" s="73"/>
      <c r="U195" s="73"/>
    </row>
    <row r="196" spans="1:21" x14ac:dyDescent="0.35">
      <c r="A196" s="41" t="s">
        <v>132</v>
      </c>
      <c r="B196" s="42">
        <f t="shared" ref="B196:H196" si="369">+IFERROR(B194/B$179,"nm")</f>
        <v>6.1553985872855703E-2</v>
      </c>
      <c r="C196" s="42">
        <f t="shared" si="369"/>
        <v>6.3938618925831206E-2</v>
      </c>
      <c r="D196" s="42">
        <f t="shared" si="369"/>
        <v>6.1214495592556317E-2</v>
      </c>
      <c r="E196" s="42">
        <f t="shared" si="369"/>
        <v>6.097560975609756E-2</v>
      </c>
      <c r="F196" s="42">
        <f t="shared" si="369"/>
        <v>5.2465897166841552E-2</v>
      </c>
      <c r="G196" s="42">
        <f t="shared" si="369"/>
        <v>4.3336944745395449E-2</v>
      </c>
      <c r="H196" s="42">
        <f t="shared" si="369"/>
        <v>2.8571428571428571E-2</v>
      </c>
      <c r="I196" s="42">
        <f>+IFERROR(I194/I$179,"nm")</f>
        <v>2.0886615515771527E-2</v>
      </c>
      <c r="J196" s="44">
        <f>AVERAGE(B196:F196,I196)</f>
        <v>5.350587047165898E-2</v>
      </c>
      <c r="K196" s="44">
        <f>+J196</f>
        <v>5.350587047165898E-2</v>
      </c>
      <c r="L196" s="44">
        <f t="shared" ref="L196:N196" si="370">+K196</f>
        <v>5.350587047165898E-2</v>
      </c>
      <c r="M196" s="44">
        <f t="shared" si="370"/>
        <v>5.350587047165898E-2</v>
      </c>
      <c r="N196" s="44">
        <f t="shared" si="370"/>
        <v>5.350587047165898E-2</v>
      </c>
      <c r="P196" s="83"/>
      <c r="R196" s="79"/>
      <c r="S196" s="80"/>
      <c r="T196" s="80"/>
      <c r="U196" s="80"/>
    </row>
    <row r="197" spans="1:21" x14ac:dyDescent="0.35">
      <c r="A197" s="68" t="s">
        <v>107</v>
      </c>
      <c r="B197" s="38"/>
      <c r="C197" s="38"/>
      <c r="D197" s="38"/>
      <c r="E197" s="38"/>
      <c r="F197" s="38"/>
      <c r="G197" s="38"/>
      <c r="H197" s="38"/>
      <c r="I197" s="38"/>
      <c r="J197" s="34"/>
      <c r="K197" s="34"/>
      <c r="L197" s="34"/>
      <c r="M197" s="34"/>
      <c r="N197" s="34"/>
      <c r="P197" s="83"/>
    </row>
    <row r="198" spans="1:21" x14ac:dyDescent="0.35">
      <c r="A198" s="9" t="s">
        <v>135</v>
      </c>
      <c r="B198" s="9">
        <f>Historicals!B148</f>
        <v>-82</v>
      </c>
      <c r="C198" s="9">
        <f>Historicals!C148</f>
        <v>-86</v>
      </c>
      <c r="D198" s="9">
        <f>Historicals!D148</f>
        <v>75</v>
      </c>
      <c r="E198" s="9">
        <f>Historicals!E148</f>
        <v>26</v>
      </c>
      <c r="F198" s="9">
        <f>Historicals!F148</f>
        <v>-7</v>
      </c>
      <c r="G198" s="9">
        <f>Historicals!G148</f>
        <v>-11</v>
      </c>
      <c r="H198" s="9">
        <f>Historicals!H148</f>
        <v>40</v>
      </c>
      <c r="I198" s="9">
        <f>Historicals!I148</f>
        <v>-72</v>
      </c>
      <c r="J198" s="9">
        <f>I198</f>
        <v>-72</v>
      </c>
      <c r="K198" s="9">
        <f t="shared" ref="K198:N198" si="371">J198</f>
        <v>-72</v>
      </c>
      <c r="L198" s="9">
        <f t="shared" si="371"/>
        <v>-72</v>
      </c>
      <c r="M198" s="9">
        <f t="shared" si="371"/>
        <v>-72</v>
      </c>
      <c r="N198" s="9">
        <f t="shared" si="371"/>
        <v>-72</v>
      </c>
      <c r="O198" s="82" t="s">
        <v>226</v>
      </c>
      <c r="P198" s="83"/>
    </row>
    <row r="199" spans="1:21" x14ac:dyDescent="0.35">
      <c r="A199" s="39" t="s">
        <v>128</v>
      </c>
      <c r="B199" s="42" t="str">
        <f t="shared" ref="B199:I199" si="372">+IFERROR(B198/A198-1,"nm")</f>
        <v>nm</v>
      </c>
      <c r="C199" s="42">
        <f t="shared" si="372"/>
        <v>4.8780487804878092E-2</v>
      </c>
      <c r="D199" s="42">
        <f t="shared" si="372"/>
        <v>-1.8720930232558139</v>
      </c>
      <c r="E199" s="42">
        <f t="shared" si="372"/>
        <v>-0.65333333333333332</v>
      </c>
      <c r="F199" s="42">
        <f t="shared" si="372"/>
        <v>-1.2692307692307692</v>
      </c>
      <c r="G199" s="42">
        <f t="shared" si="372"/>
        <v>0.5714285714285714</v>
      </c>
      <c r="H199" s="42">
        <f t="shared" si="372"/>
        <v>-4.6363636363636367</v>
      </c>
      <c r="I199" s="42">
        <f t="shared" si="372"/>
        <v>-2.8</v>
      </c>
      <c r="J199" s="42">
        <f>AVERAGE(C199,D199,E199,F199,I199)</f>
        <v>-1.3091753276030076</v>
      </c>
      <c r="K199" s="42">
        <f>J199</f>
        <v>-1.3091753276030076</v>
      </c>
      <c r="L199" s="42">
        <f t="shared" ref="L199" si="373">K199</f>
        <v>-1.3091753276030076</v>
      </c>
      <c r="M199" s="42">
        <f t="shared" ref="M199" si="374">L199</f>
        <v>-1.3091753276030076</v>
      </c>
      <c r="N199" s="42">
        <f t="shared" ref="N199" si="375">M199</f>
        <v>-1.3091753276030076</v>
      </c>
      <c r="P199" s="83"/>
    </row>
    <row r="200" spans="1:21" x14ac:dyDescent="0.35">
      <c r="A200" s="9" t="s">
        <v>129</v>
      </c>
      <c r="B200" s="9">
        <f t="shared" ref="B200:I200" si="376">+B203+B207</f>
        <v>-1022</v>
      </c>
      <c r="C200" s="9">
        <f t="shared" si="376"/>
        <v>-1089</v>
      </c>
      <c r="D200" s="9">
        <f t="shared" si="376"/>
        <v>-633</v>
      </c>
      <c r="E200" s="9">
        <f t="shared" si="376"/>
        <v>-1346</v>
      </c>
      <c r="F200" s="9">
        <f t="shared" si="376"/>
        <v>-1694</v>
      </c>
      <c r="G200" s="9">
        <f t="shared" si="376"/>
        <v>-1855</v>
      </c>
      <c r="H200" s="9">
        <f t="shared" si="376"/>
        <v>-2120</v>
      </c>
      <c r="I200" s="9">
        <f t="shared" si="376"/>
        <v>-2085</v>
      </c>
      <c r="J200" s="43">
        <f>+J198*J202</f>
        <v>-2830.5036947510798</v>
      </c>
      <c r="K200" s="43">
        <f>+K198*K202</f>
        <v>-2830.5036947510798</v>
      </c>
      <c r="L200" s="43">
        <f>+L198*L202</f>
        <v>-2830.5036947510798</v>
      </c>
      <c r="M200" s="43">
        <f>+M198*M202</f>
        <v>-2830.5036947510798</v>
      </c>
      <c r="N200" s="43">
        <f>+N198*N202</f>
        <v>-2830.5036947510798</v>
      </c>
      <c r="O200" s="1" t="s">
        <v>218</v>
      </c>
      <c r="P200" s="83"/>
    </row>
    <row r="201" spans="1:21" x14ac:dyDescent="0.35">
      <c r="A201" s="41" t="s">
        <v>128</v>
      </c>
      <c r="B201" s="42" t="str">
        <f t="shared" ref="B201:I201" si="377">+IFERROR(B200/A200-1,"nm")</f>
        <v>nm</v>
      </c>
      <c r="C201" s="42">
        <f t="shared" si="377"/>
        <v>6.5557729941291498E-2</v>
      </c>
      <c r="D201" s="42">
        <f t="shared" si="377"/>
        <v>-0.41873278236914602</v>
      </c>
      <c r="E201" s="42">
        <f t="shared" si="377"/>
        <v>1.126382306477093</v>
      </c>
      <c r="F201" s="42">
        <f t="shared" si="377"/>
        <v>0.25854383358098065</v>
      </c>
      <c r="G201" s="42">
        <f t="shared" si="377"/>
        <v>9.5041322314049603E-2</v>
      </c>
      <c r="H201" s="42">
        <f t="shared" si="377"/>
        <v>0.14285714285714279</v>
      </c>
      <c r="I201" s="42">
        <f t="shared" si="377"/>
        <v>-1.650943396226412E-2</v>
      </c>
      <c r="J201" s="42">
        <f t="shared" ref="J201" si="378">+IFERROR(J200/I200-1,"nm")</f>
        <v>0.35755572889740028</v>
      </c>
      <c r="K201" s="42">
        <f>+IFERROR(K200/J200-1,"nm")</f>
        <v>0</v>
      </c>
      <c r="L201" s="42">
        <f t="shared" ref="L201" si="379">+IFERROR(L200/K200-1,"nm")</f>
        <v>0</v>
      </c>
      <c r="M201" s="42">
        <f t="shared" ref="M201" si="380">+IFERROR(M200/L200-1,"nm")</f>
        <v>0</v>
      </c>
      <c r="N201" s="42">
        <f t="shared" ref="N201" si="381">+IFERROR(N200/M200-1,"nm")</f>
        <v>0</v>
      </c>
      <c r="P201" s="83"/>
    </row>
    <row r="202" spans="1:21" x14ac:dyDescent="0.35">
      <c r="A202" s="41" t="s">
        <v>130</v>
      </c>
      <c r="B202" s="42">
        <f>+IFERROR(B200/B198,"nm")</f>
        <v>12.463414634146341</v>
      </c>
      <c r="C202" s="42">
        <f t="shared" ref="C202:I202" si="382">+IFERROR(C200/C198,"nm")</f>
        <v>12.662790697674419</v>
      </c>
      <c r="D202" s="42">
        <f t="shared" si="382"/>
        <v>-8.44</v>
      </c>
      <c r="E202" s="42">
        <f t="shared" si="382"/>
        <v>-51.769230769230766</v>
      </c>
      <c r="F202" s="42">
        <f t="shared" si="382"/>
        <v>242</v>
      </c>
      <c r="G202" s="42">
        <f t="shared" si="382"/>
        <v>168.63636363636363</v>
      </c>
      <c r="H202" s="42">
        <f t="shared" si="382"/>
        <v>-53</v>
      </c>
      <c r="I202" s="42">
        <f t="shared" si="382"/>
        <v>28.958333333333332</v>
      </c>
      <c r="J202" s="44">
        <f>AVERAGE(B202:F202,I202)</f>
        <v>39.312551315987221</v>
      </c>
      <c r="K202" s="44">
        <f>+J202</f>
        <v>39.312551315987221</v>
      </c>
      <c r="L202" s="44">
        <f t="shared" ref="L202" si="383">+K202</f>
        <v>39.312551315987221</v>
      </c>
      <c r="M202" s="44">
        <f t="shared" ref="M202" si="384">+L202</f>
        <v>39.312551315987221</v>
      </c>
      <c r="N202" s="44">
        <f t="shared" ref="N202" si="385">+M202</f>
        <v>39.312551315987221</v>
      </c>
      <c r="P202" s="83"/>
    </row>
    <row r="203" spans="1:21" x14ac:dyDescent="0.35">
      <c r="A203" s="9" t="s">
        <v>131</v>
      </c>
      <c r="B203" s="9">
        <f>Historicals!B199</f>
        <v>75</v>
      </c>
      <c r="C203" s="9">
        <f>Historicals!C199</f>
        <v>84</v>
      </c>
      <c r="D203" s="9">
        <f>Historicals!D199</f>
        <v>91</v>
      </c>
      <c r="E203" s="9">
        <f>Historicals!E199</f>
        <v>110</v>
      </c>
      <c r="F203" s="9">
        <f>Historicals!F199</f>
        <v>116</v>
      </c>
      <c r="G203" s="9">
        <f>Historicals!G199</f>
        <v>112</v>
      </c>
      <c r="H203" s="9">
        <f>Historicals!H199</f>
        <v>141</v>
      </c>
      <c r="I203" s="9">
        <f>Historicals!I199</f>
        <v>134</v>
      </c>
      <c r="J203" s="9">
        <f>J213*J206</f>
        <v>206.17278411170227</v>
      </c>
      <c r="K203" s="9">
        <f t="shared" ref="K203:N203" si="386">K213*K206</f>
        <v>206.17278411170227</v>
      </c>
      <c r="L203" s="9">
        <f t="shared" si="386"/>
        <v>206.17278411170227</v>
      </c>
      <c r="M203" s="9">
        <f t="shared" si="386"/>
        <v>206.17278411170227</v>
      </c>
      <c r="N203" s="9">
        <f t="shared" si="386"/>
        <v>206.17278411170227</v>
      </c>
      <c r="O203" s="1" t="s">
        <v>219</v>
      </c>
      <c r="P203" s="83"/>
    </row>
    <row r="204" spans="1:21" x14ac:dyDescent="0.35">
      <c r="A204" s="41" t="s">
        <v>128</v>
      </c>
      <c r="B204" s="42" t="str">
        <f t="shared" ref="B204:I204" si="387">+IFERROR(B203/A203-1,"nm")</f>
        <v>nm</v>
      </c>
      <c r="C204" s="42">
        <f t="shared" si="387"/>
        <v>0.12000000000000011</v>
      </c>
      <c r="D204" s="42">
        <f t="shared" si="387"/>
        <v>8.3333333333333259E-2</v>
      </c>
      <c r="E204" s="42">
        <f t="shared" si="387"/>
        <v>0.20879120879120872</v>
      </c>
      <c r="F204" s="42">
        <f t="shared" si="387"/>
        <v>5.4545454545454453E-2</v>
      </c>
      <c r="G204" s="42">
        <f t="shared" si="387"/>
        <v>-3.4482758620689613E-2</v>
      </c>
      <c r="H204" s="42">
        <f t="shared" si="387"/>
        <v>0.2589285714285714</v>
      </c>
      <c r="I204" s="42">
        <f t="shared" si="387"/>
        <v>-4.9645390070921946E-2</v>
      </c>
      <c r="J204" s="42">
        <f t="shared" ref="J204" si="388">+IFERROR(J203/I203-1,"nm")</f>
        <v>0.53860286650524092</v>
      </c>
      <c r="K204" s="42">
        <f>+IFERROR(K203/J203-1,"nm")</f>
        <v>0</v>
      </c>
      <c r="L204" s="42">
        <f t="shared" ref="L204" si="389">+IFERROR(L203/K203-1,"nm")</f>
        <v>0</v>
      </c>
      <c r="M204" s="42">
        <f t="shared" ref="M204" si="390">+IFERROR(M203/L203-1,"nm")</f>
        <v>0</v>
      </c>
      <c r="N204" s="42">
        <f t="shared" ref="N204" si="391">+IFERROR(N203/M203-1,"nm")</f>
        <v>0</v>
      </c>
      <c r="P204" s="83"/>
    </row>
    <row r="205" spans="1:21" x14ac:dyDescent="0.35">
      <c r="A205" s="41" t="s">
        <v>132</v>
      </c>
      <c r="B205" s="42">
        <f>+IFERROR(B203/B198,"nm")</f>
        <v>-0.91463414634146345</v>
      </c>
      <c r="C205" s="42">
        <f t="shared" ref="C205:I205" si="392">+IFERROR(C203/C198,"nm")</f>
        <v>-0.97674418604651159</v>
      </c>
      <c r="D205" s="42">
        <f t="shared" si="392"/>
        <v>1.2133333333333334</v>
      </c>
      <c r="E205" s="42">
        <f t="shared" si="392"/>
        <v>4.2307692307692308</v>
      </c>
      <c r="F205" s="42">
        <f t="shared" si="392"/>
        <v>-16.571428571428573</v>
      </c>
      <c r="G205" s="42">
        <f t="shared" si="392"/>
        <v>-10.181818181818182</v>
      </c>
      <c r="H205" s="42">
        <f t="shared" si="392"/>
        <v>3.5249999999999999</v>
      </c>
      <c r="I205" s="42">
        <f t="shared" si="392"/>
        <v>-1.8611111111111112</v>
      </c>
      <c r="J205" s="42">
        <f t="shared" ref="J205:N205" si="393">+IFERROR(J203/J$179,"nm")</f>
        <v>8.7375333268386521E-2</v>
      </c>
      <c r="K205" s="42">
        <f t="shared" si="393"/>
        <v>8.687090835753114E-2</v>
      </c>
      <c r="L205" s="42">
        <f t="shared" si="393"/>
        <v>8.6369395532743684E-2</v>
      </c>
      <c r="M205" s="42">
        <f t="shared" si="393"/>
        <v>8.5870777982314267E-2</v>
      </c>
      <c r="N205" s="42">
        <f t="shared" si="393"/>
        <v>8.537503899158834E-2</v>
      </c>
      <c r="P205" s="83"/>
    </row>
    <row r="206" spans="1:21" x14ac:dyDescent="0.35">
      <c r="A206" s="41" t="s">
        <v>139</v>
      </c>
      <c r="B206" s="42">
        <f>+IFERROR(B203/B213,"nm")</f>
        <v>0.10518934081346423</v>
      </c>
      <c r="C206" s="42">
        <f t="shared" ref="C206:I206" si="394">+IFERROR(C203/C213,"nm")</f>
        <v>8.9647812166488788E-2</v>
      </c>
      <c r="D206" s="42">
        <f t="shared" si="394"/>
        <v>7.3505654281098551E-2</v>
      </c>
      <c r="E206" s="42">
        <f t="shared" si="394"/>
        <v>7.586206896551724E-2</v>
      </c>
      <c r="F206" s="42">
        <f t="shared" si="394"/>
        <v>6.9336521219366412E-2</v>
      </c>
      <c r="G206" s="42">
        <f t="shared" si="394"/>
        <v>5.845511482254697E-2</v>
      </c>
      <c r="H206" s="42">
        <f t="shared" si="394"/>
        <v>7.5401069518716571E-2</v>
      </c>
      <c r="I206" s="42">
        <f t="shared" si="394"/>
        <v>7.374793615850303E-2</v>
      </c>
      <c r="J206" s="44">
        <f>AVERAGE(B206:F206,I206)</f>
        <v>8.121488893407304E-2</v>
      </c>
      <c r="K206" s="44">
        <f>+J206</f>
        <v>8.121488893407304E-2</v>
      </c>
      <c r="L206" s="44">
        <f t="shared" ref="L206" si="395">+K206</f>
        <v>8.121488893407304E-2</v>
      </c>
      <c r="M206" s="44">
        <f t="shared" ref="M206" si="396">+L206</f>
        <v>8.121488893407304E-2</v>
      </c>
      <c r="N206" s="44">
        <f t="shared" ref="N206" si="397">+M206</f>
        <v>8.121488893407304E-2</v>
      </c>
      <c r="P206" s="83"/>
    </row>
    <row r="207" spans="1:21" x14ac:dyDescent="0.35">
      <c r="A207" s="9" t="s">
        <v>133</v>
      </c>
      <c r="B207" s="3">
        <f>Historicals!B163</f>
        <v>-1097</v>
      </c>
      <c r="C207" s="3">
        <f>Historicals!C163</f>
        <v>-1173</v>
      </c>
      <c r="D207" s="3">
        <f>Historicals!D163</f>
        <v>-724</v>
      </c>
      <c r="E207" s="3">
        <f>Historicals!E163</f>
        <v>-1456</v>
      </c>
      <c r="F207" s="3">
        <f>Historicals!F163</f>
        <v>-1810</v>
      </c>
      <c r="G207" s="3">
        <f>Historicals!G163</f>
        <v>-1967</v>
      </c>
      <c r="H207" s="3">
        <f>Historicals!H163</f>
        <v>-2261</v>
      </c>
      <c r="I207" s="3">
        <f>Historicals!I163</f>
        <v>-2219</v>
      </c>
      <c r="J207" s="9">
        <f>J200-J203</f>
        <v>-3036.676478862782</v>
      </c>
      <c r="K207" s="9">
        <f t="shared" ref="K207:N207" si="398">K200-K203</f>
        <v>-3036.676478862782</v>
      </c>
      <c r="L207" s="9">
        <f t="shared" si="398"/>
        <v>-3036.676478862782</v>
      </c>
      <c r="M207" s="9">
        <f t="shared" si="398"/>
        <v>-3036.676478862782</v>
      </c>
      <c r="N207" s="9">
        <f t="shared" si="398"/>
        <v>-3036.676478862782</v>
      </c>
      <c r="O207" s="1" t="s">
        <v>216</v>
      </c>
      <c r="P207" s="83"/>
    </row>
    <row r="208" spans="1:21" x14ac:dyDescent="0.35">
      <c r="A208" s="41" t="s">
        <v>128</v>
      </c>
      <c r="B208" s="42" t="str">
        <f t="shared" ref="B208:I208" si="399">+IFERROR(B207/A207-1,"nm")</f>
        <v>nm</v>
      </c>
      <c r="C208" s="42">
        <f t="shared" si="399"/>
        <v>6.9279854147675568E-2</v>
      </c>
      <c r="D208" s="42">
        <f t="shared" si="399"/>
        <v>-0.38277919863597609</v>
      </c>
      <c r="E208" s="42">
        <f t="shared" si="399"/>
        <v>1.0110497237569063</v>
      </c>
      <c r="F208" s="42">
        <f t="shared" si="399"/>
        <v>0.24313186813186816</v>
      </c>
      <c r="G208" s="42">
        <f t="shared" si="399"/>
        <v>8.6740331491712785E-2</v>
      </c>
      <c r="H208" s="42">
        <f t="shared" si="399"/>
        <v>0.14946619217081847</v>
      </c>
      <c r="I208" s="42">
        <f t="shared" si="399"/>
        <v>-1.8575851393188847E-2</v>
      </c>
      <c r="J208" s="42">
        <f t="shared" ref="J208" si="400">+IFERROR(J207/I207-1,"nm")</f>
        <v>0.3684887241382524</v>
      </c>
      <c r="K208" s="42">
        <f>+IFERROR(K207/J207-1,"nm")</f>
        <v>0</v>
      </c>
      <c r="L208" s="42">
        <f t="shared" ref="L208" si="401">+IFERROR(L207/K207-1,"nm")</f>
        <v>0</v>
      </c>
      <c r="M208" s="42">
        <f t="shared" ref="M208" si="402">+IFERROR(M207/L207-1,"nm")</f>
        <v>0</v>
      </c>
      <c r="N208" s="42">
        <f t="shared" ref="N208" si="403">+IFERROR(N207/M207-1,"nm")</f>
        <v>0</v>
      </c>
      <c r="P208" s="83"/>
    </row>
    <row r="209" spans="1:21" x14ac:dyDescent="0.35">
      <c r="A209" s="41" t="s">
        <v>130</v>
      </c>
      <c r="B209" s="42">
        <f>+IFERROR(B207/B198,"nm")</f>
        <v>13.378048780487806</v>
      </c>
      <c r="C209" s="42">
        <f t="shared" ref="C209:I209" si="404">+IFERROR(C207/C198,"nm")</f>
        <v>13.63953488372093</v>
      </c>
      <c r="D209" s="42">
        <f t="shared" si="404"/>
        <v>-9.6533333333333342</v>
      </c>
      <c r="E209" s="42">
        <f t="shared" si="404"/>
        <v>-56</v>
      </c>
      <c r="F209" s="42">
        <f t="shared" si="404"/>
        <v>258.57142857142856</v>
      </c>
      <c r="G209" s="42">
        <f t="shared" si="404"/>
        <v>178.81818181818181</v>
      </c>
      <c r="H209" s="42">
        <f t="shared" si="404"/>
        <v>-56.524999999999999</v>
      </c>
      <c r="I209" s="42">
        <f t="shared" si="404"/>
        <v>30.819444444444443</v>
      </c>
      <c r="J209" s="42">
        <f>+IFERROR(J207/J198,"nm")</f>
        <v>42.176062206427531</v>
      </c>
      <c r="K209" s="42">
        <f t="shared" ref="K209:N209" si="405">+IFERROR(K207/K198,"nm")</f>
        <v>42.176062206427531</v>
      </c>
      <c r="L209" s="42">
        <f t="shared" si="405"/>
        <v>42.176062206427531</v>
      </c>
      <c r="M209" s="42">
        <f t="shared" si="405"/>
        <v>42.176062206427531</v>
      </c>
      <c r="N209" s="42">
        <f t="shared" si="405"/>
        <v>42.176062206427531</v>
      </c>
      <c r="P209" s="83"/>
    </row>
    <row r="210" spans="1:21" x14ac:dyDescent="0.35">
      <c r="A210" s="9" t="s">
        <v>134</v>
      </c>
      <c r="B210" s="9">
        <f>Historicals!B187</f>
        <v>104</v>
      </c>
      <c r="C210" s="9">
        <f>Historicals!C187</f>
        <v>264</v>
      </c>
      <c r="D210" s="9">
        <f>Historicals!D187</f>
        <v>291</v>
      </c>
      <c r="E210" s="9">
        <f>Historicals!E187</f>
        <v>159</v>
      </c>
      <c r="F210" s="9">
        <f>Historicals!F187</f>
        <v>377</v>
      </c>
      <c r="G210" s="9">
        <f>Historicals!G187</f>
        <v>318</v>
      </c>
      <c r="H210" s="9">
        <f>Historicals!H187</f>
        <v>11</v>
      </c>
      <c r="I210" s="9">
        <f>Historicals!I187</f>
        <v>50</v>
      </c>
      <c r="J210" s="9">
        <f>J198*J212</f>
        <v>586.73115373187977</v>
      </c>
      <c r="K210" s="9">
        <f>K198*K212</f>
        <v>586.73115373187977</v>
      </c>
      <c r="L210" s="9">
        <f>L198*L212</f>
        <v>586.73115373187977</v>
      </c>
      <c r="M210" s="9">
        <f>M198*M212</f>
        <v>586.73115373187977</v>
      </c>
      <c r="N210" s="9">
        <f>N198*N212</f>
        <v>586.73115373187977</v>
      </c>
      <c r="O210" s="1" t="s">
        <v>220</v>
      </c>
      <c r="P210" s="83"/>
      <c r="R210" s="58"/>
      <c r="S210" s="58"/>
      <c r="T210" s="58"/>
      <c r="U210" s="58"/>
    </row>
    <row r="211" spans="1:21" x14ac:dyDescent="0.35">
      <c r="A211" s="41" t="s">
        <v>128</v>
      </c>
      <c r="B211" s="42" t="str">
        <f t="shared" ref="B211:I211" si="406">+IFERROR(B210/A210-1,"nm")</f>
        <v>nm</v>
      </c>
      <c r="C211" s="42">
        <f t="shared" si="406"/>
        <v>1.5384615384615383</v>
      </c>
      <c r="D211" s="42">
        <f t="shared" si="406"/>
        <v>0.10227272727272729</v>
      </c>
      <c r="E211" s="42">
        <f t="shared" si="406"/>
        <v>-0.45360824742268047</v>
      </c>
      <c r="F211" s="42">
        <f t="shared" si="406"/>
        <v>1.3710691823899372</v>
      </c>
      <c r="G211" s="42">
        <f t="shared" si="406"/>
        <v>-0.156498673740053</v>
      </c>
      <c r="H211" s="42">
        <f t="shared" si="406"/>
        <v>-0.96540880503144655</v>
      </c>
      <c r="I211" s="42">
        <f t="shared" si="406"/>
        <v>3.5454545454545459</v>
      </c>
      <c r="J211" s="42">
        <f t="shared" ref="J211" si="407">+IFERROR(J210/I210-1,"nm")</f>
        <v>10.734623074637595</v>
      </c>
      <c r="K211" s="42">
        <f>+IFERROR(K210/J210-1,"nm")</f>
        <v>0</v>
      </c>
      <c r="L211" s="42">
        <f t="shared" ref="L211" si="408">+IFERROR(L210/K210-1,"nm")</f>
        <v>0</v>
      </c>
      <c r="M211" s="42">
        <f t="shared" ref="M211" si="409">+IFERROR(M210/L210-1,"nm")</f>
        <v>0</v>
      </c>
      <c r="N211" s="42">
        <f t="shared" ref="N211" si="410">+IFERROR(N210/M210-1,"nm")</f>
        <v>0</v>
      </c>
      <c r="P211" s="83"/>
      <c r="R211" s="79"/>
      <c r="S211" s="73"/>
      <c r="T211" s="73"/>
      <c r="U211" s="73"/>
    </row>
    <row r="212" spans="1:21" x14ac:dyDescent="0.35">
      <c r="A212" s="41" t="s">
        <v>132</v>
      </c>
      <c r="B212" s="42">
        <f>+IFERROR(B210/B198,"nm")</f>
        <v>-1.2682926829268293</v>
      </c>
      <c r="C212" s="42">
        <f t="shared" ref="C212:I212" si="411">+IFERROR(C210/C198,"nm")</f>
        <v>-3.0697674418604652</v>
      </c>
      <c r="D212" s="42">
        <f t="shared" si="411"/>
        <v>3.88</v>
      </c>
      <c r="E212" s="42">
        <f t="shared" si="411"/>
        <v>6.115384615384615</v>
      </c>
      <c r="F212" s="42">
        <f t="shared" si="411"/>
        <v>-53.857142857142854</v>
      </c>
      <c r="G212" s="42">
        <f t="shared" si="411"/>
        <v>-28.90909090909091</v>
      </c>
      <c r="H212" s="42">
        <f t="shared" si="411"/>
        <v>0.27500000000000002</v>
      </c>
      <c r="I212" s="42">
        <f t="shared" si="411"/>
        <v>-0.69444444444444442</v>
      </c>
      <c r="J212" s="44">
        <f>AVERAGE(B212:F212,I212)</f>
        <v>-8.1490438018316631</v>
      </c>
      <c r="K212" s="44">
        <f>+J212</f>
        <v>-8.1490438018316631</v>
      </c>
      <c r="L212" s="44">
        <f t="shared" ref="L212" si="412">+K212</f>
        <v>-8.1490438018316631</v>
      </c>
      <c r="M212" s="44">
        <f t="shared" ref="M212" si="413">+L212</f>
        <v>-8.1490438018316631</v>
      </c>
      <c r="N212" s="44">
        <f t="shared" ref="N212" si="414">+M212</f>
        <v>-8.1490438018316631</v>
      </c>
      <c r="P212" s="83"/>
      <c r="R212" s="79"/>
      <c r="S212" s="80"/>
      <c r="T212" s="80"/>
      <c r="U212" s="80"/>
    </row>
    <row r="213" spans="1:21" x14ac:dyDescent="0.35">
      <c r="A213" s="9" t="s">
        <v>140</v>
      </c>
      <c r="B213" s="9">
        <f>Historicals!B175</f>
        <v>713</v>
      </c>
      <c r="C213" s="9">
        <f>Historicals!C175</f>
        <v>937</v>
      </c>
      <c r="D213" s="9">
        <f>Historicals!D175</f>
        <v>1238</v>
      </c>
      <c r="E213" s="9">
        <f>Historicals!E175</f>
        <v>1450</v>
      </c>
      <c r="F213" s="9">
        <f>Historicals!F175</f>
        <v>1673</v>
      </c>
      <c r="G213" s="9">
        <f>Historicals!G175</f>
        <v>1916</v>
      </c>
      <c r="H213" s="9">
        <f>Historicals!H175</f>
        <v>1870</v>
      </c>
      <c r="I213" s="9">
        <f>Historicals!I175</f>
        <v>1817</v>
      </c>
      <c r="J213" s="43">
        <f>+J198*J215</f>
        <v>2538.6082135637098</v>
      </c>
      <c r="K213" s="43">
        <f>+K198*K215</f>
        <v>2538.6082135637098</v>
      </c>
      <c r="L213" s="43">
        <f>+L198*L215</f>
        <v>2538.6082135637098</v>
      </c>
      <c r="M213" s="43">
        <f>+M198*M215</f>
        <v>2538.6082135637098</v>
      </c>
      <c r="N213" s="43">
        <f>+N198*N215</f>
        <v>2538.6082135637098</v>
      </c>
      <c r="O213" s="1" t="s">
        <v>220</v>
      </c>
      <c r="P213" s="83"/>
      <c r="R213" s="58"/>
      <c r="S213" s="43"/>
      <c r="T213" s="43"/>
      <c r="U213" s="43"/>
    </row>
    <row r="214" spans="1:21" x14ac:dyDescent="0.35">
      <c r="A214" s="41" t="s">
        <v>128</v>
      </c>
      <c r="B214" s="42" t="str">
        <f t="shared" ref="B214:H214" si="415">+IFERROR(B213/A213-1,"nm")</f>
        <v>nm</v>
      </c>
      <c r="C214" s="42">
        <f t="shared" si="415"/>
        <v>0.31416549789621318</v>
      </c>
      <c r="D214" s="42">
        <f t="shared" si="415"/>
        <v>0.32123799359658478</v>
      </c>
      <c r="E214" s="42">
        <f t="shared" si="415"/>
        <v>0.17124394184168024</v>
      </c>
      <c r="F214" s="42">
        <f t="shared" si="415"/>
        <v>0.15379310344827579</v>
      </c>
      <c r="G214" s="42">
        <f t="shared" si="415"/>
        <v>0.14524805738194857</v>
      </c>
      <c r="H214" s="42">
        <f t="shared" si="415"/>
        <v>-2.4008350730688965E-2</v>
      </c>
      <c r="I214" s="42">
        <f>+IFERROR(I213/H213-1,"nm")</f>
        <v>-2.8342245989304793E-2</v>
      </c>
      <c r="J214" s="42">
        <f t="shared" ref="J214:N214" si="416">+IFERROR(J213/I213-1,"nm")</f>
        <v>0.39714266018916344</v>
      </c>
      <c r="K214" s="42">
        <f t="shared" si="416"/>
        <v>0</v>
      </c>
      <c r="L214" s="42">
        <f t="shared" si="416"/>
        <v>0</v>
      </c>
      <c r="M214" s="42">
        <f t="shared" si="416"/>
        <v>0</v>
      </c>
      <c r="N214" s="42">
        <f t="shared" si="416"/>
        <v>0</v>
      </c>
      <c r="P214" s="83"/>
      <c r="R214" s="79"/>
      <c r="S214" s="73"/>
      <c r="T214" s="73"/>
      <c r="U214" s="73"/>
    </row>
    <row r="215" spans="1:21" x14ac:dyDescent="0.35">
      <c r="A215" s="41" t="s">
        <v>132</v>
      </c>
      <c r="B215" s="42">
        <f>+IFERROR(B213/B198,"nm")</f>
        <v>-8.6951219512195124</v>
      </c>
      <c r="C215" s="42">
        <f t="shared" ref="C215:I215" si="417">+IFERROR(C213/C198,"nm")</f>
        <v>-10.895348837209303</v>
      </c>
      <c r="D215" s="42">
        <f t="shared" si="417"/>
        <v>16.506666666666668</v>
      </c>
      <c r="E215" s="42">
        <f t="shared" si="417"/>
        <v>55.769230769230766</v>
      </c>
      <c r="F215" s="42">
        <f t="shared" si="417"/>
        <v>-239</v>
      </c>
      <c r="G215" s="42">
        <f t="shared" si="417"/>
        <v>-174.18181818181819</v>
      </c>
      <c r="H215" s="42">
        <f t="shared" si="417"/>
        <v>46.75</v>
      </c>
      <c r="I215" s="42">
        <f t="shared" si="417"/>
        <v>-25.236111111111111</v>
      </c>
      <c r="J215" s="44">
        <f>AVERAGE(B215:F215,I215)</f>
        <v>-35.258447410607083</v>
      </c>
      <c r="K215" s="44">
        <f>+J215</f>
        <v>-35.258447410607083</v>
      </c>
      <c r="L215" s="44">
        <f t="shared" ref="L215" si="418">+K215</f>
        <v>-35.258447410607083</v>
      </c>
      <c r="M215" s="44">
        <f t="shared" ref="M215" si="419">+L215</f>
        <v>-35.258447410607083</v>
      </c>
      <c r="N215" s="44">
        <f t="shared" ref="N215" si="420">+M215</f>
        <v>-35.258447410607083</v>
      </c>
      <c r="P215" s="83"/>
      <c r="R215" s="79"/>
      <c r="S215" s="80"/>
      <c r="T215" s="80"/>
      <c r="U215" s="80"/>
    </row>
  </sheetData>
  <mergeCells count="6">
    <mergeCell ref="P117:P149"/>
    <mergeCell ref="P150:P215"/>
    <mergeCell ref="P3:P11"/>
    <mergeCell ref="P20:P50"/>
    <mergeCell ref="P51:P83"/>
    <mergeCell ref="P84:P116"/>
  </mergeCells>
  <hyperlinks>
    <hyperlink ref="P17"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74"/>
  <sheetViews>
    <sheetView workbookViewId="0">
      <selection activeCell="B27" sqref="B27"/>
    </sheetView>
  </sheetViews>
  <sheetFormatPr defaultRowHeight="14.5" x14ac:dyDescent="0.35"/>
  <cols>
    <col min="1" max="1" width="48.81640625" customWidth="1"/>
    <col min="2" max="9" width="11.81640625" customWidth="1"/>
    <col min="10" max="14" width="11.81640625" hidden="1" customWidth="1"/>
    <col min="15" max="15" width="39.90625" customWidth="1"/>
  </cols>
  <sheetData>
    <row r="1" spans="1:14"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35">
      <c r="A2" s="35" t="s">
        <v>141</v>
      </c>
      <c r="B2" s="35"/>
      <c r="C2" s="35"/>
      <c r="D2" s="35"/>
      <c r="E2" s="35"/>
      <c r="F2" s="35"/>
      <c r="G2" s="35"/>
      <c r="H2" s="35"/>
      <c r="I2" s="35"/>
      <c r="J2" s="34"/>
      <c r="K2" s="34"/>
      <c r="L2" s="34"/>
      <c r="M2" s="34"/>
      <c r="N2" s="34"/>
    </row>
    <row r="3" spans="1:14"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c r="K3" s="9"/>
      <c r="L3" s="9"/>
      <c r="M3" s="9"/>
      <c r="N3" s="9"/>
    </row>
    <row r="4" spans="1:14" x14ac:dyDescent="0.35">
      <c r="A4" s="37" t="s">
        <v>128</v>
      </c>
      <c r="B4" s="42" t="str">
        <f>'Segmental forecast'!B4</f>
        <v>nm</v>
      </c>
      <c r="C4" s="42">
        <f>'Segmental forecast'!C4</f>
        <v>5.8004640371229765E-2</v>
      </c>
      <c r="D4" s="42">
        <f>'Segmental forecast'!D4</f>
        <v>6.0971089696071123E-2</v>
      </c>
      <c r="E4" s="42">
        <f>'Segmental forecast'!E4</f>
        <v>5.95924308588065E-2</v>
      </c>
      <c r="F4" s="42">
        <f>'Segmental forecast'!F4</f>
        <v>7.4731433909388079E-2</v>
      </c>
      <c r="G4" s="42">
        <f>'Segmental forecast'!G4</f>
        <v>-4.3817266150267153E-2</v>
      </c>
      <c r="H4" s="42">
        <f>'Segmental forecast'!H4</f>
        <v>0.19076009945726269</v>
      </c>
      <c r="I4" s="42">
        <f>'Segmental forecast'!I4</f>
        <v>4.8767344739323759E-2</v>
      </c>
      <c r="J4" s="49"/>
      <c r="K4" s="49"/>
      <c r="L4" s="49"/>
      <c r="M4" s="49"/>
      <c r="N4" s="49"/>
    </row>
    <row r="5" spans="1:14"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row>
    <row r="6" spans="1:14" x14ac:dyDescent="0.35">
      <c r="A6" s="45" t="s">
        <v>131</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c r="K6" s="50"/>
      <c r="L6" s="50"/>
      <c r="M6" s="50"/>
      <c r="N6" s="50"/>
    </row>
    <row r="7" spans="1:14"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c r="K7" s="5"/>
      <c r="L7" s="5"/>
      <c r="M7" s="5"/>
      <c r="N7" s="5"/>
    </row>
    <row r="8" spans="1:14" x14ac:dyDescent="0.35">
      <c r="A8" s="37" t="s">
        <v>128</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c r="K8" s="49"/>
      <c r="L8" s="49"/>
      <c r="M8" s="49"/>
      <c r="N8" s="49"/>
    </row>
    <row r="9" spans="1:14" x14ac:dyDescent="0.35">
      <c r="A9" s="37" t="s">
        <v>130</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c r="K9" s="49"/>
      <c r="L9" s="49"/>
      <c r="M9" s="49"/>
      <c r="N9" s="49"/>
    </row>
    <row r="10" spans="1:14"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row>
    <row r="11" spans="1:14" x14ac:dyDescent="0.35">
      <c r="A11" s="4" t="s">
        <v>142</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c r="K11" s="5"/>
      <c r="L11" s="5"/>
      <c r="M11" s="5"/>
      <c r="N11" s="5"/>
    </row>
    <row r="12" spans="1:14" x14ac:dyDescent="0.3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c r="K12" s="3"/>
      <c r="L12" s="3"/>
      <c r="M12" s="3"/>
      <c r="N12" s="3"/>
    </row>
    <row r="13" spans="1:14" x14ac:dyDescent="0.35">
      <c r="A13" s="46" t="s">
        <v>143</v>
      </c>
      <c r="B13" s="51">
        <f>B12/B11</f>
        <v>0.22164090368608799</v>
      </c>
      <c r="C13" s="51">
        <f t="shared" ref="C13:I13" si="1">C12/C11</f>
        <v>0.18667531905688947</v>
      </c>
      <c r="D13" s="51">
        <f t="shared" si="1"/>
        <v>0.13221449038067951</v>
      </c>
      <c r="E13" s="51">
        <f t="shared" si="1"/>
        <v>0.55306358381502885</v>
      </c>
      <c r="F13" s="51">
        <f t="shared" si="1"/>
        <v>0.16079983336804832</v>
      </c>
      <c r="G13" s="51">
        <f t="shared" si="1"/>
        <v>0.12054035330793211</v>
      </c>
      <c r="H13" s="51">
        <f t="shared" si="1"/>
        <v>0.14021918630836211</v>
      </c>
      <c r="I13" s="51">
        <f t="shared" si="1"/>
        <v>9.0963764847391368E-2</v>
      </c>
      <c r="J13" s="52"/>
      <c r="K13" s="52"/>
      <c r="L13" s="52"/>
      <c r="M13" s="52"/>
      <c r="N13" s="52"/>
    </row>
    <row r="14" spans="1:14" ht="15" thickBot="1" x14ac:dyDescent="0.4">
      <c r="A14" s="6" t="s">
        <v>144</v>
      </c>
      <c r="B14" s="7">
        <f>B11-B12</f>
        <v>3273</v>
      </c>
      <c r="C14" s="7">
        <f t="shared" ref="C14:I14" si="2">C11-C12</f>
        <v>3760</v>
      </c>
      <c r="D14" s="7">
        <f t="shared" si="2"/>
        <v>4240</v>
      </c>
      <c r="E14" s="7">
        <f t="shared" si="2"/>
        <v>1933</v>
      </c>
      <c r="F14" s="7">
        <f t="shared" si="2"/>
        <v>4029</v>
      </c>
      <c r="G14" s="7">
        <f t="shared" si="2"/>
        <v>2539</v>
      </c>
      <c r="H14" s="7">
        <f t="shared" si="2"/>
        <v>5727</v>
      </c>
      <c r="I14" s="7">
        <f t="shared" si="2"/>
        <v>6046</v>
      </c>
      <c r="J14" s="7"/>
      <c r="K14" s="7"/>
      <c r="L14" s="7"/>
      <c r="M14" s="7"/>
      <c r="N14" s="7"/>
    </row>
    <row r="15" spans="1:14" ht="15" thickTop="1" x14ac:dyDescent="0.35">
      <c r="A15" t="s">
        <v>145</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4" x14ac:dyDescent="0.35">
      <c r="A16" t="s">
        <v>146</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c r="K16" s="53"/>
      <c r="L16" s="53"/>
      <c r="M16" s="53"/>
      <c r="N16" s="53"/>
    </row>
    <row r="17" spans="1:14" x14ac:dyDescent="0.35">
      <c r="A17" t="s">
        <v>147</v>
      </c>
      <c r="B17" s="53">
        <f>-Historicals!B92/'Three Statements'!B15</f>
        <v>0.508254183627318</v>
      </c>
      <c r="C17" s="53">
        <f>-Historicals!C92/'Three Statements'!C15</f>
        <v>0.58651362984218081</v>
      </c>
      <c r="D17" s="53">
        <f>-Historicals!D92/'Three Statements'!D15</f>
        <v>0.66962174940898345</v>
      </c>
      <c r="E17" s="53">
        <f>-Historicals!E92/'Three Statements'!E15</f>
        <v>0.74920137423904531</v>
      </c>
      <c r="F17" s="53">
        <f>-Historicals!F92/'Three Statements'!F15</f>
        <v>0.82303509639149774</v>
      </c>
      <c r="G17" s="53">
        <f>-Historicals!G92/'Three Statements'!G15</f>
        <v>0.91228951997989449</v>
      </c>
      <c r="H17" s="53">
        <f>-Historicals!H92/'Three Statements'!H15</f>
        <v>1.0177705977382876</v>
      </c>
      <c r="I17" s="53">
        <f>-Historicals!I92/'Three Statements'!I15</f>
        <v>1.1404271169605165</v>
      </c>
      <c r="J17" s="53"/>
      <c r="K17" s="53"/>
      <c r="L17" s="53"/>
      <c r="M17" s="53"/>
      <c r="N17" s="53"/>
    </row>
    <row r="18" spans="1:14" x14ac:dyDescent="0.35">
      <c r="A18" s="46" t="s">
        <v>128</v>
      </c>
      <c r="B18" s="42" t="str">
        <f>+IFERROR(B16/A16-1,"nm")</f>
        <v>nm</v>
      </c>
      <c r="C18" s="42">
        <f t="shared" ref="C18:I18" si="3">+IFERROR(C16/B16-1,"nm")</f>
        <v>0.16756756756756763</v>
      </c>
      <c r="D18" s="42">
        <f t="shared" si="3"/>
        <v>0.16203703703703676</v>
      </c>
      <c r="E18" s="42">
        <f t="shared" si="3"/>
        <v>-0.53386454183266929</v>
      </c>
      <c r="F18" s="42">
        <f t="shared" si="3"/>
        <v>1.1282051282051286</v>
      </c>
      <c r="G18" s="42">
        <f t="shared" si="3"/>
        <v>-0.35742971887550201</v>
      </c>
      <c r="H18" s="42">
        <f t="shared" si="3"/>
        <v>1.2250000000000001</v>
      </c>
      <c r="I18" s="42">
        <f t="shared" si="3"/>
        <v>5.3370786516854007E-2</v>
      </c>
      <c r="J18" s="52"/>
      <c r="K18" s="52"/>
      <c r="L18" s="52"/>
      <c r="M18" s="52"/>
      <c r="N18" s="52"/>
    </row>
    <row r="19" spans="1:14" x14ac:dyDescent="0.35">
      <c r="A19" s="46" t="s">
        <v>148</v>
      </c>
      <c r="B19" s="51">
        <f>-Historicals!B92/B14</f>
        <v>0.27467155514818209</v>
      </c>
      <c r="C19" s="51">
        <f>-Historicals!C92/C14</f>
        <v>0.27180851063829786</v>
      </c>
      <c r="D19" s="51">
        <f>-Historicals!D92/D14</f>
        <v>0.26721698113207548</v>
      </c>
      <c r="E19" s="51">
        <f>-Historicals!E92/E14</f>
        <v>0.64304190377651316</v>
      </c>
      <c r="F19" s="51">
        <f>-Historicals!F92/F14</f>
        <v>0.33060312732688013</v>
      </c>
      <c r="G19" s="51">
        <f>-Historicals!G92/G14</f>
        <v>0.57187869239858213</v>
      </c>
      <c r="H19" s="51">
        <f>-Historicals!H92/H14</f>
        <v>0.286013619696176</v>
      </c>
      <c r="I19" s="51">
        <f>-Historicals!I92/I14</f>
        <v>0.30383724776711873</v>
      </c>
      <c r="J19" s="51"/>
      <c r="K19" s="51"/>
      <c r="L19" s="51"/>
      <c r="M19" s="51"/>
      <c r="N19" s="51"/>
    </row>
    <row r="20" spans="1:14" x14ac:dyDescent="0.35">
      <c r="A20" s="47" t="s">
        <v>149</v>
      </c>
      <c r="B20" s="35"/>
      <c r="C20" s="35"/>
      <c r="D20" s="35"/>
      <c r="E20" s="35"/>
      <c r="F20" s="35"/>
      <c r="G20" s="35"/>
      <c r="H20" s="35"/>
      <c r="I20" s="35"/>
      <c r="J20" s="34"/>
      <c r="K20" s="34"/>
      <c r="L20" s="34"/>
      <c r="M20" s="34"/>
      <c r="N20" s="34"/>
    </row>
    <row r="21" spans="1:14" x14ac:dyDescent="0.35">
      <c r="A21" t="s">
        <v>150</v>
      </c>
      <c r="B21" s="59">
        <f>Historicals!B25</f>
        <v>3852</v>
      </c>
      <c r="C21" s="59">
        <f>Historicals!C25</f>
        <v>3138</v>
      </c>
      <c r="D21" s="59">
        <f>Historicals!D25</f>
        <v>3808</v>
      </c>
      <c r="E21" s="59">
        <f>Historicals!E25</f>
        <v>4249</v>
      </c>
      <c r="F21" s="59">
        <f>Historicals!F25</f>
        <v>4466</v>
      </c>
      <c r="G21" s="59">
        <f>Historicals!G25</f>
        <v>8348</v>
      </c>
      <c r="H21" s="59">
        <f>Historicals!H25</f>
        <v>9889</v>
      </c>
      <c r="I21" s="59">
        <f>Historicals!I25</f>
        <v>8574</v>
      </c>
      <c r="J21" s="3"/>
      <c r="K21" s="3"/>
      <c r="L21" s="3"/>
      <c r="M21" s="3"/>
      <c r="N21" s="3"/>
    </row>
    <row r="22" spans="1:14" x14ac:dyDescent="0.35">
      <c r="A22" t="s">
        <v>151</v>
      </c>
      <c r="B22" s="59">
        <f>Historicals!B26</f>
        <v>2072</v>
      </c>
      <c r="C22" s="59">
        <f>Historicals!C26</f>
        <v>2319</v>
      </c>
      <c r="D22" s="59">
        <f>Historicals!D26</f>
        <v>2371</v>
      </c>
      <c r="E22" s="59">
        <f>Historicals!E26</f>
        <v>996</v>
      </c>
      <c r="F22" s="59">
        <f>Historicals!F26</f>
        <v>197</v>
      </c>
      <c r="G22" s="59">
        <f>Historicals!G26</f>
        <v>439</v>
      </c>
      <c r="H22" s="59">
        <f>Historicals!H26</f>
        <v>3587</v>
      </c>
      <c r="I22" s="59">
        <f>Historicals!I26</f>
        <v>4423</v>
      </c>
      <c r="J22" s="3"/>
      <c r="K22" s="3"/>
      <c r="L22" s="3"/>
      <c r="M22" s="3"/>
      <c r="N22" s="3"/>
    </row>
    <row r="23" spans="1:14" x14ac:dyDescent="0.35">
      <c r="A23" t="s">
        <v>152</v>
      </c>
      <c r="B23" s="59">
        <f>Historicals!B28+Historicals!B27-Historicals!B41</f>
        <v>5564</v>
      </c>
      <c r="C23" s="59">
        <f>Historicals!C28+Historicals!C27-Historicals!C41</f>
        <v>5888</v>
      </c>
      <c r="D23" s="59">
        <f>Historicals!D28+Historicals!D27-Historicals!D41</f>
        <v>6684</v>
      </c>
      <c r="E23" s="59">
        <f>Historicals!E28+Historicals!E27-Historicals!E41</f>
        <v>6480</v>
      </c>
      <c r="F23" s="59">
        <f>Historicals!F28+Historicals!F27-Historicals!F41</f>
        <v>7282</v>
      </c>
      <c r="G23" s="59">
        <f>Historicals!G28+Historicals!G27-Historicals!G41</f>
        <v>7868</v>
      </c>
      <c r="H23" s="59">
        <f>Historicals!H28+Historicals!H27-Historicals!H41</f>
        <v>8481</v>
      </c>
      <c r="I23" s="59">
        <f>Historicals!I28+Historicals!I27-Historicals!I41</f>
        <v>9729</v>
      </c>
      <c r="J23" s="3"/>
      <c r="K23" s="3"/>
      <c r="L23" s="3"/>
      <c r="M23" s="3"/>
      <c r="N23" s="3"/>
    </row>
    <row r="24" spans="1:14" x14ac:dyDescent="0.35">
      <c r="A24" s="69" t="s">
        <v>153</v>
      </c>
      <c r="B24" s="70">
        <f t="shared" ref="B24:I24" si="4">B23/B3</f>
        <v>0.18182412339466031</v>
      </c>
      <c r="C24" s="70">
        <f t="shared" si="4"/>
        <v>0.1818631084754139</v>
      </c>
      <c r="D24" s="70">
        <f t="shared" si="4"/>
        <v>0.19458515283842795</v>
      </c>
      <c r="E24" s="70">
        <f t="shared" si="4"/>
        <v>0.17803665137236585</v>
      </c>
      <c r="F24" s="70">
        <f t="shared" si="4"/>
        <v>0.18615947030702765</v>
      </c>
      <c r="G24" s="70">
        <f t="shared" si="4"/>
        <v>0.21035745795791783</v>
      </c>
      <c r="H24" s="70">
        <f t="shared" si="4"/>
        <v>0.19042166240064665</v>
      </c>
      <c r="I24" s="70">
        <f t="shared" si="4"/>
        <v>0.20828516377649325</v>
      </c>
      <c r="J24" s="52"/>
      <c r="K24" s="52"/>
      <c r="L24" s="52"/>
      <c r="M24" s="52"/>
      <c r="N24" s="52"/>
    </row>
    <row r="25" spans="1:14" x14ac:dyDescent="0.35">
      <c r="A25" t="s">
        <v>154</v>
      </c>
      <c r="B25" s="59">
        <f>Historicals!B29</f>
        <v>1968</v>
      </c>
      <c r="C25" s="59">
        <f>Historicals!C29</f>
        <v>1489</v>
      </c>
      <c r="D25" s="59">
        <f>Historicals!D29</f>
        <v>1150</v>
      </c>
      <c r="E25" s="59">
        <f>Historicals!E29</f>
        <v>1130</v>
      </c>
      <c r="F25" s="59">
        <f>Historicals!F29</f>
        <v>1968</v>
      </c>
      <c r="G25" s="59">
        <f>Historicals!G29</f>
        <v>1653</v>
      </c>
      <c r="H25" s="59">
        <f>Historicals!H29</f>
        <v>1498</v>
      </c>
      <c r="I25" s="59">
        <f>Historicals!I29</f>
        <v>2129</v>
      </c>
      <c r="J25" s="3"/>
      <c r="K25" s="3"/>
      <c r="L25" s="3"/>
      <c r="M25" s="3"/>
      <c r="N25" s="3"/>
    </row>
    <row r="26" spans="1:14" x14ac:dyDescent="0.35">
      <c r="A26" t="s">
        <v>155</v>
      </c>
      <c r="B26" s="59">
        <f>Historicals!B31</f>
        <v>3011</v>
      </c>
      <c r="C26" s="59">
        <f>Historicals!C31</f>
        <v>3520</v>
      </c>
      <c r="D26" s="59">
        <f>Historicals!D31</f>
        <v>3989</v>
      </c>
      <c r="E26" s="59">
        <f>Historicals!E31</f>
        <v>4454</v>
      </c>
      <c r="F26" s="59">
        <f>Historicals!F31</f>
        <v>4744</v>
      </c>
      <c r="G26" s="59">
        <f>Historicals!G31</f>
        <v>4866</v>
      </c>
      <c r="H26" s="59">
        <f>Historicals!H31</f>
        <v>4904</v>
      </c>
      <c r="I26" s="59">
        <f>Historicals!I31</f>
        <v>4791</v>
      </c>
      <c r="J26" s="3"/>
      <c r="K26" s="3"/>
      <c r="L26" s="3"/>
      <c r="M26" s="3"/>
      <c r="N26" s="3"/>
    </row>
    <row r="27" spans="1:14" x14ac:dyDescent="0.35">
      <c r="A27" t="s">
        <v>156</v>
      </c>
      <c r="B27" s="59">
        <f>Historicals!B33</f>
        <v>281</v>
      </c>
      <c r="C27" s="59">
        <f>Historicals!C33</f>
        <v>281</v>
      </c>
      <c r="D27" s="59">
        <f>Historicals!D33</f>
        <v>283</v>
      </c>
      <c r="E27" s="59">
        <f>Historicals!E33</f>
        <v>285</v>
      </c>
      <c r="F27" s="59">
        <f>Historicals!F33</f>
        <v>283</v>
      </c>
      <c r="G27" s="59">
        <f>Historicals!G33</f>
        <v>274</v>
      </c>
      <c r="H27" s="59">
        <f>Historicals!H33</f>
        <v>269</v>
      </c>
      <c r="I27" s="59">
        <f>Historicals!I33</f>
        <v>286</v>
      </c>
      <c r="J27" s="3"/>
      <c r="K27" s="3"/>
      <c r="L27" s="3"/>
      <c r="M27" s="3"/>
      <c r="N27" s="3"/>
    </row>
    <row r="28" spans="1:14" x14ac:dyDescent="0.35">
      <c r="A28" t="s">
        <v>40</v>
      </c>
      <c r="B28" s="59">
        <f>Historicals!B34</f>
        <v>131</v>
      </c>
      <c r="C28" s="59">
        <f>Historicals!C34</f>
        <v>131</v>
      </c>
      <c r="D28" s="59">
        <f>Historicals!D34</f>
        <v>139</v>
      </c>
      <c r="E28" s="59">
        <f>Historicals!E34</f>
        <v>154</v>
      </c>
      <c r="F28" s="59">
        <f>Historicals!F34</f>
        <v>154</v>
      </c>
      <c r="G28" s="59">
        <f>Historicals!G34</f>
        <v>223</v>
      </c>
      <c r="H28" s="59">
        <f>Historicals!H34</f>
        <v>242</v>
      </c>
      <c r="I28" s="59">
        <f>Historicals!I34</f>
        <v>284</v>
      </c>
      <c r="J28" s="3"/>
      <c r="K28" s="3"/>
      <c r="L28" s="3"/>
      <c r="M28" s="3"/>
      <c r="N28" s="3"/>
    </row>
    <row r="29" spans="1:14" x14ac:dyDescent="0.35">
      <c r="A29" s="48" t="s">
        <v>38</v>
      </c>
      <c r="B29" s="59">
        <f>Historicals!B32</f>
        <v>0</v>
      </c>
      <c r="C29" s="59">
        <f>Historicals!C32</f>
        <v>0</v>
      </c>
      <c r="D29" s="59">
        <f>Historicals!D32</f>
        <v>0</v>
      </c>
      <c r="E29" s="59">
        <f>Historicals!E32</f>
        <v>0</v>
      </c>
      <c r="F29" s="59">
        <f>Historicals!F32</f>
        <v>0</v>
      </c>
      <c r="G29" s="59">
        <f>Historicals!G32</f>
        <v>3097</v>
      </c>
      <c r="H29" s="59">
        <f>Historicals!H32</f>
        <v>3113</v>
      </c>
      <c r="I29" s="59">
        <f>Historicals!I32</f>
        <v>2926</v>
      </c>
      <c r="J29" s="3"/>
      <c r="K29" s="3"/>
      <c r="L29" s="3"/>
      <c r="M29" s="3"/>
      <c r="N29" s="3"/>
    </row>
    <row r="30" spans="1:14" x14ac:dyDescent="0.35">
      <c r="A30" t="s">
        <v>157</v>
      </c>
      <c r="B30" s="59">
        <f>Historicals!B35</f>
        <v>2587</v>
      </c>
      <c r="C30" s="59">
        <f>Historicals!C35</f>
        <v>2439</v>
      </c>
      <c r="D30" s="59">
        <f>Historicals!D35</f>
        <v>2787</v>
      </c>
      <c r="E30" s="59">
        <f>Historicals!E35</f>
        <v>2509</v>
      </c>
      <c r="F30" s="59">
        <f>Historicals!F35</f>
        <v>2011</v>
      </c>
      <c r="G30" s="59">
        <f>Historicals!G35</f>
        <v>2326</v>
      </c>
      <c r="H30" s="59">
        <f>Historicals!H35</f>
        <v>2921</v>
      </c>
      <c r="I30" s="59">
        <f>Historicals!I35</f>
        <v>3821</v>
      </c>
      <c r="J30" s="3"/>
      <c r="K30" s="3"/>
      <c r="L30" s="3"/>
      <c r="M30" s="3"/>
      <c r="N30" s="3"/>
    </row>
    <row r="31" spans="1:14" ht="15" thickBot="1" x14ac:dyDescent="0.4">
      <c r="A31" s="6" t="s">
        <v>158</v>
      </c>
      <c r="B31" s="7">
        <f t="shared" ref="B31:H31" si="5">SUM(B21:B23)+SUM(B25:B30)</f>
        <v>19466</v>
      </c>
      <c r="C31" s="7">
        <f t="shared" si="5"/>
        <v>19205</v>
      </c>
      <c r="D31" s="7">
        <f t="shared" si="5"/>
        <v>21211</v>
      </c>
      <c r="E31" s="7">
        <f t="shared" si="5"/>
        <v>20257</v>
      </c>
      <c r="F31" s="7">
        <f t="shared" si="5"/>
        <v>21105</v>
      </c>
      <c r="G31" s="7">
        <f t="shared" si="5"/>
        <v>29094</v>
      </c>
      <c r="H31" s="7">
        <f t="shared" si="5"/>
        <v>34904</v>
      </c>
      <c r="I31" s="7">
        <f>SUM(I21:I23)+SUM(I25:I30)</f>
        <v>36963</v>
      </c>
      <c r="J31" s="7"/>
      <c r="K31" s="7"/>
      <c r="L31" s="7"/>
      <c r="M31" s="7"/>
      <c r="N31" s="7"/>
    </row>
    <row r="32" spans="1:14" ht="15" thickTop="1" x14ac:dyDescent="0.35">
      <c r="A32" t="s">
        <v>159</v>
      </c>
      <c r="B32" s="9">
        <f t="shared" ref="B32:H32" si="6">SUM(B33:B34)</f>
        <v>181</v>
      </c>
      <c r="C32" s="9">
        <f t="shared" si="6"/>
        <v>45</v>
      </c>
      <c r="D32" s="9">
        <f t="shared" si="6"/>
        <v>331</v>
      </c>
      <c r="E32" s="9">
        <f t="shared" si="6"/>
        <v>342</v>
      </c>
      <c r="F32" s="9">
        <f t="shared" si="6"/>
        <v>15</v>
      </c>
      <c r="G32" s="9">
        <f t="shared" si="6"/>
        <v>251</v>
      </c>
      <c r="H32" s="9">
        <f t="shared" si="6"/>
        <v>2</v>
      </c>
      <c r="I32" s="9">
        <f>SUM(I33:I34)</f>
        <v>510</v>
      </c>
      <c r="J32" s="3"/>
      <c r="K32" s="3"/>
      <c r="L32" s="3"/>
      <c r="M32" s="3"/>
      <c r="N32" s="3"/>
    </row>
    <row r="33" spans="1:14" x14ac:dyDescent="0.3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row>
    <row r="34" spans="1:14" x14ac:dyDescent="0.3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row>
    <row r="35" spans="1:14" x14ac:dyDescent="0.35">
      <c r="A35" t="s">
        <v>160</v>
      </c>
      <c r="B35" s="3">
        <f>SUM(Historicals!B42:B44)</f>
        <v>4020</v>
      </c>
      <c r="C35" s="3">
        <f>SUM(Historicals!C42:C44)</f>
        <v>3122</v>
      </c>
      <c r="D35" s="3">
        <f>SUM(Historicals!D42:D44)</f>
        <v>3095</v>
      </c>
      <c r="E35" s="3">
        <f>SUM(Historicals!E42:E44)</f>
        <v>3419</v>
      </c>
      <c r="F35" s="3">
        <f>SUM(Historicals!F42:F44)</f>
        <v>5239</v>
      </c>
      <c r="G35" s="3">
        <f>SUM(Historicals!G42:G44)</f>
        <v>5785</v>
      </c>
      <c r="H35" s="3">
        <f>SUM(Historicals!H42:H44)</f>
        <v>6836</v>
      </c>
      <c r="I35" s="3">
        <f>SUM(Historicals!I42:I44)</f>
        <v>6862</v>
      </c>
      <c r="J35" s="3"/>
      <c r="K35" s="3"/>
      <c r="L35" s="3"/>
      <c r="M35" s="3"/>
      <c r="N35" s="3"/>
    </row>
    <row r="36" spans="1:14" x14ac:dyDescent="0.3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row>
    <row r="37" spans="1:14" x14ac:dyDescent="0.35">
      <c r="A37" s="48"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c r="K37" s="3"/>
      <c r="L37" s="3"/>
      <c r="M37" s="3"/>
      <c r="N37" s="3"/>
    </row>
    <row r="38" spans="1:14" x14ac:dyDescent="0.35">
      <c r="A38" t="s">
        <v>161</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row>
    <row r="39" spans="1:14" x14ac:dyDescent="0.35">
      <c r="A39" t="s">
        <v>162</v>
      </c>
      <c r="B39" s="9">
        <f t="shared" ref="B39:H39" si="7">SUM(B40:B42)</f>
        <v>12707</v>
      </c>
      <c r="C39" s="9">
        <f t="shared" si="7"/>
        <v>12258</v>
      </c>
      <c r="D39" s="9">
        <f t="shared" si="7"/>
        <v>12407</v>
      </c>
      <c r="E39" s="9">
        <f t="shared" si="7"/>
        <v>9812</v>
      </c>
      <c r="F39" s="9">
        <f t="shared" si="7"/>
        <v>9040</v>
      </c>
      <c r="G39" s="9">
        <f t="shared" si="7"/>
        <v>8055</v>
      </c>
      <c r="H39" s="9">
        <f t="shared" si="7"/>
        <v>12767</v>
      </c>
      <c r="I39" s="9">
        <f>SUM(I40:I42)</f>
        <v>15281</v>
      </c>
      <c r="J39" s="3"/>
      <c r="K39" s="3"/>
      <c r="L39" s="3"/>
      <c r="M39" s="3"/>
      <c r="N39" s="3"/>
    </row>
    <row r="40" spans="1:14" x14ac:dyDescent="0.35">
      <c r="A40" s="2" t="s">
        <v>163</v>
      </c>
      <c r="B40" s="3">
        <f>Historicals!B54</f>
        <v>3</v>
      </c>
      <c r="C40" s="3">
        <f>Historicals!C54</f>
        <v>3</v>
      </c>
      <c r="D40" s="3">
        <f>Historicals!D54</f>
        <v>3</v>
      </c>
      <c r="E40" s="3">
        <f>Historicals!E54</f>
        <v>3</v>
      </c>
      <c r="F40" s="3">
        <f>Historicals!F54</f>
        <v>3</v>
      </c>
      <c r="G40" s="3">
        <f>Historicals!G54</f>
        <v>3</v>
      </c>
      <c r="H40" s="3">
        <f>Historicals!H54</f>
        <v>3</v>
      </c>
      <c r="I40" s="3">
        <f>Historicals!I54</f>
        <v>3</v>
      </c>
      <c r="J40" s="3"/>
      <c r="K40" s="3"/>
      <c r="L40" s="3"/>
      <c r="M40" s="3"/>
      <c r="N40" s="3"/>
    </row>
    <row r="41" spans="1:14" x14ac:dyDescent="0.35">
      <c r="A41" s="2" t="s">
        <v>164</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c r="K41" s="3"/>
      <c r="L41" s="3"/>
      <c r="M41" s="3"/>
      <c r="N41" s="3"/>
    </row>
    <row r="42" spans="1:14" x14ac:dyDescent="0.35">
      <c r="A42" s="2" t="s">
        <v>165</v>
      </c>
      <c r="B42" s="3">
        <f>SUM(Historicals!B55:B56)</f>
        <v>8019</v>
      </c>
      <c r="C42" s="3">
        <f>SUM(Historicals!C55:C56)</f>
        <v>8104</v>
      </c>
      <c r="D42" s="3">
        <f>SUM(Historicals!D55:D56)</f>
        <v>5497</v>
      </c>
      <c r="E42" s="3">
        <f>SUM(Historicals!E55:E56)</f>
        <v>6292</v>
      </c>
      <c r="F42" s="3">
        <f>SUM(Historicals!F55:F56)</f>
        <v>7394</v>
      </c>
      <c r="G42" s="3">
        <f>SUM(Historicals!G55:G56)</f>
        <v>8243</v>
      </c>
      <c r="H42" s="3">
        <f>SUM(Historicals!H55:H56)</f>
        <v>9585</v>
      </c>
      <c r="I42" s="3">
        <f>SUM(Historicals!I55:I56)</f>
        <v>11802</v>
      </c>
      <c r="J42" s="3"/>
      <c r="K42" s="3"/>
      <c r="L42" s="3"/>
      <c r="M42" s="3"/>
      <c r="N42" s="3"/>
    </row>
    <row r="43" spans="1:14" ht="15" thickBot="1" x14ac:dyDescent="0.4">
      <c r="A43" s="6" t="s">
        <v>166</v>
      </c>
      <c r="B43" s="7">
        <f t="shared" ref="B43:H43" si="8">B32+SUM(B35:B39)</f>
        <v>19466</v>
      </c>
      <c r="C43" s="7">
        <f t="shared" si="8"/>
        <v>19205</v>
      </c>
      <c r="D43" s="7">
        <f t="shared" si="8"/>
        <v>21211</v>
      </c>
      <c r="E43" s="7">
        <f t="shared" si="8"/>
        <v>20257</v>
      </c>
      <c r="F43" s="7">
        <f t="shared" si="8"/>
        <v>21105</v>
      </c>
      <c r="G43" s="7">
        <f t="shared" si="8"/>
        <v>29094</v>
      </c>
      <c r="H43" s="7">
        <f t="shared" si="8"/>
        <v>34904</v>
      </c>
      <c r="I43" s="7">
        <f>I32+SUM(I35:I39)</f>
        <v>36963</v>
      </c>
      <c r="J43" s="7"/>
      <c r="K43" s="7"/>
      <c r="L43" s="7"/>
      <c r="M43" s="7"/>
      <c r="N43" s="7"/>
    </row>
    <row r="44" spans="1:14" s="1" customFormat="1" ht="15" thickTop="1" x14ac:dyDescent="0.35">
      <c r="A44" s="71" t="s">
        <v>167</v>
      </c>
      <c r="B44" s="71">
        <f>B31-B43</f>
        <v>0</v>
      </c>
      <c r="C44" s="71">
        <f t="shared" ref="C44:H44" si="9">C31-C43</f>
        <v>0</v>
      </c>
      <c r="D44" s="71">
        <f t="shared" si="9"/>
        <v>0</v>
      </c>
      <c r="E44" s="71">
        <f t="shared" si="9"/>
        <v>0</v>
      </c>
      <c r="F44" s="71">
        <f t="shared" si="9"/>
        <v>0</v>
      </c>
      <c r="G44" s="71">
        <f t="shared" si="9"/>
        <v>0</v>
      </c>
      <c r="H44" s="71">
        <f t="shared" si="9"/>
        <v>0</v>
      </c>
      <c r="I44" s="71">
        <f>I31-I43</f>
        <v>0</v>
      </c>
      <c r="J44" s="56"/>
      <c r="K44" s="56"/>
      <c r="L44" s="56"/>
      <c r="M44" s="56"/>
      <c r="N44" s="56"/>
    </row>
    <row r="45" spans="1:14" x14ac:dyDescent="0.35">
      <c r="A45" s="47" t="s">
        <v>197</v>
      </c>
      <c r="B45" s="35"/>
      <c r="C45" s="35"/>
      <c r="D45" s="35"/>
      <c r="E45" s="35"/>
      <c r="F45" s="35"/>
      <c r="G45" s="35"/>
      <c r="H45" s="35"/>
      <c r="I45" s="35"/>
      <c r="J45" s="34"/>
      <c r="K45" s="34"/>
      <c r="L45" s="34"/>
      <c r="M45" s="34"/>
      <c r="N45" s="34"/>
    </row>
    <row r="46" spans="1:14" x14ac:dyDescent="0.35">
      <c r="A46" s="1" t="s">
        <v>133</v>
      </c>
      <c r="B46" s="58">
        <f>'Segmental forecast'!B11</f>
        <v>4233</v>
      </c>
      <c r="C46" s="58">
        <f>'Segmental forecast'!C11</f>
        <v>4642</v>
      </c>
      <c r="D46" s="58">
        <f>'Segmental forecast'!D11</f>
        <v>4945</v>
      </c>
      <c r="E46" s="58">
        <f>'Segmental forecast'!E11</f>
        <v>4379</v>
      </c>
      <c r="F46" s="58">
        <f>'Segmental forecast'!F11</f>
        <v>4850</v>
      </c>
      <c r="G46" s="58">
        <f>'Segmental forecast'!G11</f>
        <v>2976</v>
      </c>
      <c r="H46" s="58">
        <f>'Segmental forecast'!H11</f>
        <v>6923</v>
      </c>
      <c r="I46" s="58">
        <f>'Segmental forecast'!I11</f>
        <v>6856</v>
      </c>
      <c r="J46" s="9"/>
      <c r="K46" s="9"/>
      <c r="L46" s="9"/>
      <c r="M46" s="9"/>
      <c r="N46" s="9"/>
    </row>
    <row r="47" spans="1:14" x14ac:dyDescent="0.35">
      <c r="A47" t="s">
        <v>131</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c r="K47" s="54"/>
      <c r="L47" s="54"/>
      <c r="M47" s="54"/>
      <c r="N47" s="54"/>
    </row>
    <row r="48" spans="1:14" x14ac:dyDescent="0.35">
      <c r="A48" t="s">
        <v>168</v>
      </c>
      <c r="B48" s="59">
        <f>Historicals!B103</f>
        <v>703</v>
      </c>
      <c r="C48" s="59">
        <f>Historicals!C103</f>
        <v>748</v>
      </c>
      <c r="D48" s="59">
        <f>Historicals!D103</f>
        <v>1262</v>
      </c>
      <c r="E48" s="59">
        <f>Historicals!E103</f>
        <v>529</v>
      </c>
      <c r="F48" s="59">
        <f>Historicals!F103</f>
        <v>757</v>
      </c>
      <c r="G48" s="59">
        <f>Historicals!G103</f>
        <v>1028</v>
      </c>
      <c r="H48" s="59">
        <f>Historicals!H103</f>
        <v>1177</v>
      </c>
      <c r="I48" s="59">
        <f>Historicals!I103</f>
        <v>1231</v>
      </c>
      <c r="J48" s="3"/>
      <c r="K48" s="3"/>
      <c r="L48" s="3"/>
      <c r="M48" s="3"/>
      <c r="N48" s="3"/>
    </row>
    <row r="49" spans="1:14" x14ac:dyDescent="0.35">
      <c r="A49" s="1" t="s">
        <v>169</v>
      </c>
      <c r="B49" s="58">
        <f t="shared" ref="B49:H49" si="10">B46-B48</f>
        <v>3530</v>
      </c>
      <c r="C49" s="58">
        <f t="shared" si="10"/>
        <v>3894</v>
      </c>
      <c r="D49" s="58">
        <f t="shared" si="10"/>
        <v>3683</v>
      </c>
      <c r="E49" s="58">
        <f t="shared" si="10"/>
        <v>3850</v>
      </c>
      <c r="F49" s="58">
        <f t="shared" si="10"/>
        <v>4093</v>
      </c>
      <c r="G49" s="58">
        <f t="shared" si="10"/>
        <v>1948</v>
      </c>
      <c r="H49" s="58">
        <f t="shared" si="10"/>
        <v>5746</v>
      </c>
      <c r="I49" s="58">
        <f>I46-I48</f>
        <v>5625</v>
      </c>
      <c r="J49" s="9"/>
      <c r="K49" s="9"/>
      <c r="L49" s="9"/>
      <c r="M49" s="9"/>
      <c r="N49" s="9"/>
    </row>
    <row r="50" spans="1:14" x14ac:dyDescent="0.35">
      <c r="A50" t="s">
        <v>170</v>
      </c>
      <c r="B50" s="59">
        <f>Historicals!B102</f>
        <v>53</v>
      </c>
      <c r="C50" s="59">
        <f>Historicals!C102</f>
        <v>70</v>
      </c>
      <c r="D50" s="59">
        <f>Historicals!D102</f>
        <v>98</v>
      </c>
      <c r="E50" s="59">
        <f>Historicals!E102</f>
        <v>125</v>
      </c>
      <c r="F50" s="59">
        <f>Historicals!F102</f>
        <v>153</v>
      </c>
      <c r="G50" s="59">
        <f>Historicals!G102</f>
        <v>140</v>
      </c>
      <c r="H50" s="59">
        <f>Historicals!H102</f>
        <v>293</v>
      </c>
      <c r="I50" s="59">
        <f>Historicals!I102</f>
        <v>290</v>
      </c>
      <c r="J50" s="3"/>
      <c r="K50" s="3"/>
      <c r="L50" s="3"/>
      <c r="M50" s="3"/>
      <c r="N50" s="3"/>
    </row>
    <row r="51" spans="1:14" x14ac:dyDescent="0.35">
      <c r="A51" t="s">
        <v>171</v>
      </c>
      <c r="B51" s="59">
        <f>5451-B23</f>
        <v>-113</v>
      </c>
      <c r="C51" s="59">
        <f t="shared" ref="C51:H51" si="11">B23-C23</f>
        <v>-324</v>
      </c>
      <c r="D51" s="59">
        <f t="shared" si="11"/>
        <v>-796</v>
      </c>
      <c r="E51" s="59">
        <f t="shared" si="11"/>
        <v>204</v>
      </c>
      <c r="F51" s="59">
        <f t="shared" si="11"/>
        <v>-802</v>
      </c>
      <c r="G51" s="59">
        <f t="shared" si="11"/>
        <v>-586</v>
      </c>
      <c r="H51" s="59">
        <f t="shared" si="11"/>
        <v>-613</v>
      </c>
      <c r="I51" s="59">
        <f>H23-I23</f>
        <v>-1248</v>
      </c>
      <c r="J51" s="3"/>
      <c r="K51" s="3"/>
      <c r="L51" s="3"/>
      <c r="M51" s="3"/>
      <c r="N51" s="3"/>
    </row>
    <row r="52" spans="1:14" x14ac:dyDescent="0.35">
      <c r="A52" t="s">
        <v>134</v>
      </c>
      <c r="B52" s="59">
        <f>Historicals!B82+Historicals!B83-Historicals!B104</f>
        <v>-1166</v>
      </c>
      <c r="C52" s="59">
        <f>Historicals!C82+Historicals!C83-Historicals!C104</f>
        <v>-1385</v>
      </c>
      <c r="D52" s="59">
        <f>Historicals!D82+Historicals!D83-Historicals!D104</f>
        <v>-1358</v>
      </c>
      <c r="E52" s="59">
        <f>Historicals!E82+Historicals!E83-Historicals!E104</f>
        <v>-1319</v>
      </c>
      <c r="F52" s="59">
        <f>Historicals!F82+Historicals!F83-Historicals!F104</f>
        <v>-1279</v>
      </c>
      <c r="G52" s="59">
        <f>Historicals!G82+Historicals!G83-Historicals!G104</f>
        <v>-1207</v>
      </c>
      <c r="H52" s="59">
        <f>Historicals!H82+Historicals!H83-Historicals!H104</f>
        <v>-874</v>
      </c>
      <c r="I52" s="59">
        <f>Historicals!I82+Historicals!I83-Historicals!I104</f>
        <v>-918</v>
      </c>
      <c r="J52" s="3"/>
      <c r="K52" s="3"/>
      <c r="L52" s="3"/>
      <c r="M52" s="3"/>
      <c r="N52" s="3"/>
    </row>
    <row r="53" spans="1:14" x14ac:dyDescent="0.35">
      <c r="A53" s="1" t="s">
        <v>172</v>
      </c>
      <c r="B53" s="58">
        <f t="shared" ref="B53:H53" si="12">B49+B47+B51+B52-B50</f>
        <v>2804</v>
      </c>
      <c r="C53" s="58">
        <f t="shared" si="12"/>
        <v>2764</v>
      </c>
      <c r="D53" s="58">
        <f t="shared" si="12"/>
        <v>2137</v>
      </c>
      <c r="E53" s="58">
        <f t="shared" si="12"/>
        <v>3357</v>
      </c>
      <c r="F53" s="58">
        <f t="shared" si="12"/>
        <v>2564</v>
      </c>
      <c r="G53" s="58">
        <f t="shared" si="12"/>
        <v>736</v>
      </c>
      <c r="H53" s="58">
        <f t="shared" si="12"/>
        <v>4710</v>
      </c>
      <c r="I53" s="58">
        <f>I49+I47+I51+I52-I50</f>
        <v>3886</v>
      </c>
      <c r="J53" s="9"/>
      <c r="K53" s="9"/>
      <c r="L53" s="9"/>
      <c r="M53" s="9"/>
      <c r="N53" s="9"/>
    </row>
    <row r="54" spans="1:14" x14ac:dyDescent="0.35">
      <c r="A54" t="s">
        <v>173</v>
      </c>
      <c r="B54" s="59">
        <f>Historicals!B76-'Three Statements'!B49-'Three Statements'!B51-B47</f>
        <v>657</v>
      </c>
      <c r="C54" s="59">
        <f>Historicals!C76-'Three Statements'!C49-'Three Statements'!C51-C47</f>
        <v>-820</v>
      </c>
      <c r="D54" s="59">
        <f>Historicals!D76-'Three Statements'!D49-'Three Statements'!D51-D47</f>
        <v>253</v>
      </c>
      <c r="E54" s="59">
        <f>Historicals!E76-'Three Statements'!E49-'Three Statements'!E51-E47</f>
        <v>154</v>
      </c>
      <c r="F54" s="59">
        <f>Historicals!F76-'Three Statements'!F49-'Three Statements'!F51-F47</f>
        <v>1907</v>
      </c>
      <c r="G54" s="59">
        <f>Historicals!G76-'Three Statements'!G49-'Three Statements'!G51-G47</f>
        <v>402</v>
      </c>
      <c r="H54" s="59">
        <f>Historicals!H76-'Three Statements'!H49-'Three Statements'!H51-H47</f>
        <v>780</v>
      </c>
      <c r="I54" s="59">
        <f>Historicals!I76-'Three Statements'!I49-'Three Statements'!I51-I47</f>
        <v>94</v>
      </c>
      <c r="J54" s="3"/>
      <c r="K54" s="3"/>
      <c r="L54" s="3"/>
      <c r="M54" s="3"/>
      <c r="N54" s="3"/>
    </row>
    <row r="55" spans="1:14" x14ac:dyDescent="0.35">
      <c r="A55" s="27" t="s">
        <v>174</v>
      </c>
      <c r="B55" s="60">
        <f t="shared" ref="B55:H55" si="13">B49+B51+B54+B47</f>
        <v>4680</v>
      </c>
      <c r="C55" s="60">
        <f t="shared" si="13"/>
        <v>3399</v>
      </c>
      <c r="D55" s="60">
        <f t="shared" si="13"/>
        <v>3846</v>
      </c>
      <c r="E55" s="60">
        <f t="shared" si="13"/>
        <v>4955</v>
      </c>
      <c r="F55" s="60">
        <f t="shared" si="13"/>
        <v>5903</v>
      </c>
      <c r="G55" s="60">
        <f t="shared" si="13"/>
        <v>2485</v>
      </c>
      <c r="H55" s="60">
        <f t="shared" si="13"/>
        <v>6657</v>
      </c>
      <c r="I55" s="60">
        <f>I49+I51+I54+I47</f>
        <v>5188</v>
      </c>
      <c r="J55" s="26"/>
      <c r="K55" s="26"/>
      <c r="L55" s="26"/>
      <c r="M55" s="26"/>
      <c r="N55" s="26"/>
    </row>
    <row r="56" spans="1:14" x14ac:dyDescent="0.35">
      <c r="A56" s="12" t="s">
        <v>167</v>
      </c>
      <c r="B56" s="72">
        <f>B55-Historicals!B76</f>
        <v>0</v>
      </c>
      <c r="C56" s="72">
        <f>C55-Historicals!C76</f>
        <v>0</v>
      </c>
      <c r="D56" s="72">
        <f>D55-Historicals!D76</f>
        <v>0</v>
      </c>
      <c r="E56" s="72">
        <f>E55-Historicals!E76</f>
        <v>0</v>
      </c>
      <c r="F56" s="72">
        <f>F55-Historicals!F76</f>
        <v>0</v>
      </c>
      <c r="G56" s="72">
        <f>G55-Historicals!G76</f>
        <v>0</v>
      </c>
      <c r="H56" s="72">
        <f>H55-Historicals!H76</f>
        <v>0</v>
      </c>
      <c r="I56" s="72">
        <f>I55-Historicals!I76</f>
        <v>0</v>
      </c>
      <c r="J56" s="3"/>
      <c r="K56" s="3"/>
      <c r="L56" s="3"/>
      <c r="M56" s="3"/>
      <c r="N56" s="3"/>
    </row>
    <row r="57" spans="1:14" x14ac:dyDescent="0.35">
      <c r="A57" t="s">
        <v>175</v>
      </c>
      <c r="B57" s="59"/>
      <c r="C57" s="59"/>
      <c r="D57" s="59"/>
      <c r="E57" s="59"/>
      <c r="F57" s="59"/>
      <c r="G57" s="59"/>
      <c r="H57" s="59"/>
      <c r="I57" s="59"/>
      <c r="J57" s="3"/>
      <c r="K57" s="3"/>
      <c r="L57" s="3"/>
      <c r="M57" s="3"/>
      <c r="N57" s="3"/>
    </row>
    <row r="58" spans="1:14" x14ac:dyDescent="0.35">
      <c r="A58" t="s">
        <v>176</v>
      </c>
      <c r="B58" s="59">
        <f>Historicals!B85-'Three Statements'!B52</f>
        <v>991</v>
      </c>
      <c r="C58" s="59">
        <f>Historicals!C85-'Three Statements'!C52</f>
        <v>351</v>
      </c>
      <c r="D58" s="59">
        <f>Historicals!D85-'Three Statements'!D52</f>
        <v>350</v>
      </c>
      <c r="E58" s="59">
        <f>Historicals!E85-'Three Statements'!E52</f>
        <v>1595</v>
      </c>
      <c r="F58" s="59">
        <f>Historicals!F85-'Three Statements'!F52</f>
        <v>1015</v>
      </c>
      <c r="G58" s="59">
        <f>Historicals!G85-'Three Statements'!G52</f>
        <v>179</v>
      </c>
      <c r="H58" s="59">
        <f>Historicals!H85-'Three Statements'!H52</f>
        <v>-2926</v>
      </c>
      <c r="I58" s="59">
        <f>Historicals!I85-'Three Statements'!I52</f>
        <v>-606</v>
      </c>
      <c r="J58" s="26"/>
      <c r="K58" s="26"/>
      <c r="L58" s="26"/>
      <c r="M58" s="26"/>
      <c r="N58" s="26"/>
    </row>
    <row r="59" spans="1:14" x14ac:dyDescent="0.35">
      <c r="A59" s="27" t="s">
        <v>177</v>
      </c>
      <c r="B59" s="60">
        <f>B57+B58+B52</f>
        <v>-175</v>
      </c>
      <c r="C59" s="60">
        <f t="shared" ref="C59:I59" si="14">C57+C58+C52</f>
        <v>-1034</v>
      </c>
      <c r="D59" s="60">
        <f t="shared" si="14"/>
        <v>-1008</v>
      </c>
      <c r="E59" s="60">
        <f t="shared" si="14"/>
        <v>276</v>
      </c>
      <c r="F59" s="60">
        <f t="shared" si="14"/>
        <v>-264</v>
      </c>
      <c r="G59" s="60">
        <f t="shared" si="14"/>
        <v>-1028</v>
      </c>
      <c r="H59" s="60">
        <f t="shared" si="14"/>
        <v>-3800</v>
      </c>
      <c r="I59" s="60">
        <f t="shared" si="14"/>
        <v>-1524</v>
      </c>
      <c r="J59" s="3"/>
      <c r="K59" s="3"/>
      <c r="L59" s="55"/>
      <c r="M59" s="3"/>
      <c r="N59" s="3"/>
    </row>
    <row r="60" spans="1:14" x14ac:dyDescent="0.35">
      <c r="A60" s="12" t="s">
        <v>167</v>
      </c>
      <c r="B60" s="72">
        <f>B59-Historicals!B85</f>
        <v>0</v>
      </c>
      <c r="C60" s="72">
        <f>C59-Historicals!C85</f>
        <v>0</v>
      </c>
      <c r="D60" s="72">
        <f>D59-Historicals!D85</f>
        <v>0</v>
      </c>
      <c r="E60" s="72">
        <f>E59-Historicals!E85</f>
        <v>0</v>
      </c>
      <c r="F60" s="72">
        <f>F59-Historicals!F85</f>
        <v>0</v>
      </c>
      <c r="G60" s="72">
        <f>G59-Historicals!G85</f>
        <v>0</v>
      </c>
      <c r="H60" s="72">
        <f>H59-Historicals!H85</f>
        <v>0</v>
      </c>
      <c r="I60" s="72">
        <f>I59-Historicals!I85</f>
        <v>0</v>
      </c>
      <c r="J60" s="51"/>
      <c r="K60" s="51"/>
      <c r="L60" s="51"/>
      <c r="M60" s="52"/>
      <c r="N60" s="52"/>
    </row>
    <row r="61" spans="1:14" x14ac:dyDescent="0.35">
      <c r="A61" t="s">
        <v>178</v>
      </c>
      <c r="B61" s="59">
        <f>Historicals!B91+Historicals!B90</f>
        <v>-2020</v>
      </c>
      <c r="C61" s="59">
        <f>Historicals!C91+Historicals!C90</f>
        <v>-2731</v>
      </c>
      <c r="D61" s="59">
        <f>Historicals!D91+Historicals!D90</f>
        <v>-2734</v>
      </c>
      <c r="E61" s="59">
        <f>Historicals!E91+Historicals!E90</f>
        <v>-3521</v>
      </c>
      <c r="F61" s="59">
        <f>Historicals!F91+Historicals!F90</f>
        <v>-3586</v>
      </c>
      <c r="G61" s="59">
        <f>Historicals!G91+Historicals!G90</f>
        <v>-2182</v>
      </c>
      <c r="H61" s="59">
        <f>Historicals!H91+Historicals!H90</f>
        <v>564</v>
      </c>
      <c r="I61" s="59">
        <f>Historicals!I91+Historicals!I90</f>
        <v>-2863</v>
      </c>
      <c r="J61" s="3"/>
      <c r="K61" s="3"/>
      <c r="L61" s="3"/>
      <c r="M61" s="3"/>
      <c r="N61" s="3"/>
    </row>
    <row r="62" spans="1:14" x14ac:dyDescent="0.35">
      <c r="A62" s="69" t="s">
        <v>128</v>
      </c>
      <c r="B62" s="73" t="str">
        <f>+IFERROR(B61/A61-1,"nm")</f>
        <v>nm</v>
      </c>
      <c r="C62" s="73">
        <f t="shared" ref="C62:I62" si="15">+IFERROR(-C61/-B61-1,"nm")</f>
        <v>0.35198019801980207</v>
      </c>
      <c r="D62" s="73">
        <f t="shared" si="15"/>
        <v>1.0984987184181616E-3</v>
      </c>
      <c r="E62" s="73">
        <f t="shared" si="15"/>
        <v>0.28785662033650339</v>
      </c>
      <c r="F62" s="73">
        <f t="shared" si="15"/>
        <v>1.8460664583924924E-2</v>
      </c>
      <c r="G62" s="73">
        <f t="shared" si="15"/>
        <v>-0.39152258784160621</v>
      </c>
      <c r="H62" s="73">
        <f t="shared" si="15"/>
        <v>-1.2584784601283228</v>
      </c>
      <c r="I62" s="73">
        <f t="shared" si="15"/>
        <v>-6.0762411347517729</v>
      </c>
      <c r="J62" s="3"/>
      <c r="K62" s="3"/>
      <c r="L62" s="3"/>
      <c r="M62" s="3"/>
      <c r="N62" s="3"/>
    </row>
    <row r="63" spans="1:14" x14ac:dyDescent="0.35">
      <c r="A63" t="s">
        <v>179</v>
      </c>
      <c r="B63" s="59">
        <f>Historicals!B92</f>
        <v>-899</v>
      </c>
      <c r="C63" s="59">
        <f>Historicals!C92</f>
        <v>-1022</v>
      </c>
      <c r="D63" s="59">
        <f>Historicals!D92</f>
        <v>-1133</v>
      </c>
      <c r="E63" s="59">
        <f>Historicals!E92</f>
        <v>-1243</v>
      </c>
      <c r="F63" s="59">
        <f>Historicals!F92</f>
        <v>-1332</v>
      </c>
      <c r="G63" s="59">
        <f>Historicals!G92</f>
        <v>-1452</v>
      </c>
      <c r="H63" s="59">
        <f>Historicals!H92</f>
        <v>-1638</v>
      </c>
      <c r="I63" s="59">
        <f>Historicals!I92</f>
        <v>-1837</v>
      </c>
      <c r="J63" s="3"/>
      <c r="K63" s="3"/>
      <c r="L63" s="3"/>
      <c r="M63" s="3"/>
      <c r="N63" s="3"/>
    </row>
    <row r="64" spans="1:14" x14ac:dyDescent="0.35">
      <c r="A64" t="s">
        <v>180</v>
      </c>
      <c r="B64" s="59">
        <f>Historicals!B88+Historicals!B89+Historicals!B87</f>
        <v>-63</v>
      </c>
      <c r="C64" s="59">
        <f>Historicals!C88+Historicals!C89+Historicals!C87</f>
        <v>914</v>
      </c>
      <c r="D64" s="59">
        <f>Historicals!D88+Historicals!D89+Historicals!D87</f>
        <v>1809</v>
      </c>
      <c r="E64" s="59">
        <f>Historicals!E88+Historicals!E89+Historicals!E87</f>
        <v>13</v>
      </c>
      <c r="F64" s="59">
        <f>Historicals!F88+Historicals!F89+Historicals!F87</f>
        <v>-325</v>
      </c>
      <c r="G64" s="59">
        <f>Historicals!G88+Historicals!G89+Historicals!G87</f>
        <v>6183</v>
      </c>
      <c r="H64" s="59">
        <f>Historicals!H88+Historicals!H89+Historicals!H87</f>
        <v>-249</v>
      </c>
      <c r="I64" s="59">
        <f>Historicals!I88+Historicals!I89+Historicals!I87</f>
        <v>15</v>
      </c>
      <c r="J64" s="26"/>
      <c r="K64" s="26"/>
      <c r="L64" s="26"/>
      <c r="M64" s="26"/>
      <c r="N64" s="26"/>
    </row>
    <row r="65" spans="1:14" x14ac:dyDescent="0.35">
      <c r="A65" t="s">
        <v>181</v>
      </c>
      <c r="B65" s="59">
        <f>Historicals!B94-B61-B63-B64+B50</f>
        <v>245</v>
      </c>
      <c r="C65" s="59">
        <f>Historicals!C94-C61-C63-C64+C50</f>
        <v>-65</v>
      </c>
      <c r="D65" s="59">
        <f>Historicals!D94-D61-D63-D64+D50</f>
        <v>8</v>
      </c>
      <c r="E65" s="59">
        <f>Historicals!E94-E61-E63-E64+E50</f>
        <v>41</v>
      </c>
      <c r="F65" s="59">
        <f>Historicals!F94-F61-F63-F64+F50</f>
        <v>103</v>
      </c>
      <c r="G65" s="59">
        <f>Historicals!G94-G61-G63-G64+G50</f>
        <v>82</v>
      </c>
      <c r="H65" s="59">
        <f>Historicals!H94-H61-H63-H64+H50</f>
        <v>157</v>
      </c>
      <c r="I65" s="59">
        <f>Historicals!I94-I61-I63-I64+I50</f>
        <v>139</v>
      </c>
      <c r="J65" s="3"/>
      <c r="K65" s="3"/>
      <c r="L65" s="3"/>
      <c r="M65" s="3"/>
      <c r="N65" s="3"/>
    </row>
    <row r="66" spans="1:14" x14ac:dyDescent="0.35">
      <c r="A66" s="27" t="s">
        <v>182</v>
      </c>
      <c r="B66" s="60">
        <f t="shared" ref="B66:H66" si="16">B61+B63+B64+B65-B50</f>
        <v>-2790</v>
      </c>
      <c r="C66" s="60">
        <f t="shared" si="16"/>
        <v>-2974</v>
      </c>
      <c r="D66" s="60">
        <f t="shared" si="16"/>
        <v>-2148</v>
      </c>
      <c r="E66" s="60">
        <f t="shared" si="16"/>
        <v>-4835</v>
      </c>
      <c r="F66" s="60">
        <f t="shared" si="16"/>
        <v>-5293</v>
      </c>
      <c r="G66" s="60">
        <f t="shared" si="16"/>
        <v>2491</v>
      </c>
      <c r="H66" s="60">
        <f t="shared" si="16"/>
        <v>-1459</v>
      </c>
      <c r="I66" s="60">
        <f>I61+I63+I64+I65-I50</f>
        <v>-4836</v>
      </c>
      <c r="J66" s="26"/>
      <c r="K66" s="26"/>
      <c r="L66" s="26"/>
      <c r="M66" s="26"/>
      <c r="N66" s="26"/>
    </row>
    <row r="67" spans="1:14" x14ac:dyDescent="0.35">
      <c r="A67" s="12" t="s">
        <v>167</v>
      </c>
      <c r="B67" s="72">
        <f>B66-Historicals!B94</f>
        <v>0</v>
      </c>
      <c r="C67" s="72">
        <f>C66-Historicals!C94</f>
        <v>0</v>
      </c>
      <c r="D67" s="72">
        <f>D66-Historicals!D94</f>
        <v>0</v>
      </c>
      <c r="E67" s="72">
        <f>E66-Historicals!E94</f>
        <v>0</v>
      </c>
      <c r="F67" s="72">
        <f>F66-Historicals!F94</f>
        <v>0</v>
      </c>
      <c r="G67" s="72">
        <f>G66-Historicals!G94</f>
        <v>0</v>
      </c>
      <c r="H67" s="72">
        <f>H66-Historicals!H94</f>
        <v>0</v>
      </c>
      <c r="I67" s="72">
        <f>I66-Historicals!I94</f>
        <v>0</v>
      </c>
      <c r="J67" s="3"/>
      <c r="K67" s="3"/>
      <c r="L67" s="3"/>
      <c r="M67" s="3"/>
      <c r="N67" s="3"/>
    </row>
    <row r="68" spans="1:14" ht="15" thickBot="1" x14ac:dyDescent="0.4">
      <c r="A68" t="s">
        <v>183</v>
      </c>
      <c r="B68" s="59">
        <f>Historicals!B95</f>
        <v>-83</v>
      </c>
      <c r="C68" s="59">
        <f>Historicals!C95</f>
        <v>-105</v>
      </c>
      <c r="D68" s="59">
        <f>Historicals!D95</f>
        <v>-20</v>
      </c>
      <c r="E68" s="59">
        <f>Historicals!E95</f>
        <v>45</v>
      </c>
      <c r="F68" s="59">
        <f>Historicals!F95</f>
        <v>-129</v>
      </c>
      <c r="G68" s="59">
        <f>Historicals!G95</f>
        <v>-66</v>
      </c>
      <c r="H68" s="59">
        <f>Historicals!H95</f>
        <v>143</v>
      </c>
      <c r="I68" s="59">
        <f>Historicals!I95</f>
        <v>-143</v>
      </c>
      <c r="J68" s="7"/>
      <c r="K68" s="7"/>
      <c r="L68" s="7"/>
      <c r="M68" s="7"/>
      <c r="N68" s="7"/>
    </row>
    <row r="69" spans="1:14" ht="15" thickTop="1" x14ac:dyDescent="0.35">
      <c r="A69" s="27" t="s">
        <v>184</v>
      </c>
      <c r="B69" s="60">
        <f t="shared" ref="B69:H69" si="17">B55+B59+B66+B68</f>
        <v>1632</v>
      </c>
      <c r="C69" s="60">
        <f t="shared" si="17"/>
        <v>-714</v>
      </c>
      <c r="D69" s="60">
        <f t="shared" si="17"/>
        <v>670</v>
      </c>
      <c r="E69" s="60">
        <f t="shared" si="17"/>
        <v>441</v>
      </c>
      <c r="F69" s="60">
        <f t="shared" si="17"/>
        <v>217</v>
      </c>
      <c r="G69" s="60">
        <f t="shared" si="17"/>
        <v>3882</v>
      </c>
      <c r="H69" s="60">
        <f t="shared" si="17"/>
        <v>1541</v>
      </c>
      <c r="I69" s="60">
        <f>I55+I59+I66+I68</f>
        <v>-1315</v>
      </c>
      <c r="J69" s="36"/>
      <c r="K69" s="36"/>
      <c r="L69" s="36"/>
      <c r="M69" s="36"/>
      <c r="N69" s="36"/>
    </row>
    <row r="70" spans="1:14" x14ac:dyDescent="0.35">
      <c r="A70" t="s">
        <v>185</v>
      </c>
      <c r="B70" s="59">
        <f>Historicals!B97</f>
        <v>2220</v>
      </c>
      <c r="C70" s="59">
        <f t="shared" ref="C70:H70" si="18">B71</f>
        <v>3852</v>
      </c>
      <c r="D70" s="59">
        <f t="shared" si="18"/>
        <v>3138</v>
      </c>
      <c r="E70" s="59">
        <f t="shared" si="18"/>
        <v>3808</v>
      </c>
      <c r="F70" s="59">
        <f t="shared" si="18"/>
        <v>4249</v>
      </c>
      <c r="G70" s="59">
        <f t="shared" si="18"/>
        <v>4466</v>
      </c>
      <c r="H70" s="59">
        <f t="shared" si="18"/>
        <v>8348</v>
      </c>
      <c r="I70" s="59">
        <f>H71</f>
        <v>9889</v>
      </c>
      <c r="J70" s="43"/>
      <c r="K70" s="43"/>
      <c r="L70" s="43"/>
      <c r="M70" s="43"/>
      <c r="N70" s="43"/>
    </row>
    <row r="71" spans="1:14" ht="15" thickBot="1" x14ac:dyDescent="0.4">
      <c r="A71" s="6" t="s">
        <v>186</v>
      </c>
      <c r="B71" s="61">
        <f t="shared" ref="B71:H71" si="19">B69+B70</f>
        <v>3852</v>
      </c>
      <c r="C71" s="61">
        <f t="shared" si="19"/>
        <v>3138</v>
      </c>
      <c r="D71" s="61">
        <f t="shared" si="19"/>
        <v>3808</v>
      </c>
      <c r="E71" s="61">
        <f t="shared" si="19"/>
        <v>4249</v>
      </c>
      <c r="F71" s="61">
        <f t="shared" si="19"/>
        <v>4466</v>
      </c>
      <c r="G71" s="61">
        <f t="shared" si="19"/>
        <v>8348</v>
      </c>
      <c r="H71" s="61">
        <f t="shared" si="19"/>
        <v>9889</v>
      </c>
      <c r="I71" s="61">
        <f>I69+I70</f>
        <v>8574</v>
      </c>
    </row>
    <row r="72" spans="1:14" ht="15" thickTop="1" x14ac:dyDescent="0.35">
      <c r="A72" s="12" t="s">
        <v>167</v>
      </c>
      <c r="B72" s="72">
        <f>+B71-B21</f>
        <v>0</v>
      </c>
      <c r="C72" s="72">
        <f t="shared" ref="C72:I72" si="20">+C71-C21</f>
        <v>0</v>
      </c>
      <c r="D72" s="72">
        <f t="shared" si="20"/>
        <v>0</v>
      </c>
      <c r="E72" s="72">
        <f t="shared" si="20"/>
        <v>0</v>
      </c>
      <c r="F72" s="72">
        <f t="shared" si="20"/>
        <v>0</v>
      </c>
      <c r="G72" s="72">
        <f t="shared" si="20"/>
        <v>0</v>
      </c>
      <c r="H72" s="72">
        <f t="shared" si="20"/>
        <v>0</v>
      </c>
      <c r="I72" s="72">
        <f t="shared" si="20"/>
        <v>0</v>
      </c>
    </row>
    <row r="73" spans="1:14" x14ac:dyDescent="0.35">
      <c r="A73" s="1" t="s">
        <v>187</v>
      </c>
      <c r="B73" s="43">
        <f t="shared" ref="B73:H73" si="21">(B33+B37)-(B22+23)</f>
        <v>-1988</v>
      </c>
      <c r="C73" s="43">
        <f t="shared" si="21"/>
        <v>-2298</v>
      </c>
      <c r="D73" s="43">
        <f t="shared" si="21"/>
        <v>-2388</v>
      </c>
      <c r="E73" s="43">
        <f t="shared" si="21"/>
        <v>-1013</v>
      </c>
      <c r="F73" s="43">
        <f t="shared" si="21"/>
        <v>-214</v>
      </c>
      <c r="G73" s="43">
        <f t="shared" si="21"/>
        <v>2454</v>
      </c>
      <c r="H73" s="43">
        <f t="shared" si="21"/>
        <v>-679</v>
      </c>
      <c r="I73" s="43">
        <f>(I33+I37)-(I22+23)</f>
        <v>-1169</v>
      </c>
    </row>
    <row r="74" spans="1:14" x14ac:dyDescent="0.35">
      <c r="B74" s="54"/>
      <c r="C74" s="54"/>
      <c r="D74" s="54"/>
      <c r="E74" s="54"/>
      <c r="F74" s="54"/>
      <c r="G74" s="54"/>
      <c r="H74" s="54"/>
      <c r="I74"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2023-08-07T09:48:19Z</dcterms:modified>
</cp:coreProperties>
</file>