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drapi\Desktop\QCP\Task 13\"/>
    </mc:Choice>
  </mc:AlternateContent>
  <xr:revisionPtr revIDLastSave="0" documentId="13_ncr:1_{390C2873-0AA2-4EFC-B6BA-D5B8E0DA536F}" xr6:coauthVersionLast="47" xr6:coauthVersionMax="47" xr10:uidLastSave="{00000000-0000-0000-0000-000000000000}"/>
  <bookViews>
    <workbookView xWindow="-110" yWindow="-110" windowWidth="25820" windowHeight="13900"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 i="4" l="1"/>
  <c r="K46" i="4"/>
  <c r="L46" i="4"/>
  <c r="M46" i="4"/>
  <c r="N46" i="4"/>
  <c r="N32" i="4"/>
  <c r="M32" i="4"/>
  <c r="L32" i="4"/>
  <c r="K32" i="4"/>
  <c r="J32" i="4"/>
  <c r="J33" i="4" s="1"/>
  <c r="J29" i="4"/>
  <c r="K29" i="4" s="1"/>
  <c r="L29" i="4" s="1"/>
  <c r="M29" i="4" s="1"/>
  <c r="N29" i="4" s="1"/>
  <c r="K24" i="4"/>
  <c r="L24" i="4"/>
  <c r="M24" i="4"/>
  <c r="N24" i="4"/>
  <c r="K27" i="4"/>
  <c r="J23" i="4"/>
  <c r="K23" i="4"/>
  <c r="L23" i="4" s="1"/>
  <c r="J24" i="4"/>
  <c r="B24" i="4"/>
  <c r="I32" i="4"/>
  <c r="J44" i="4"/>
  <c r="K43" i="4"/>
  <c r="L43" i="4"/>
  <c r="M43" i="4" s="1"/>
  <c r="N43" i="4" s="1"/>
  <c r="J43" i="4"/>
  <c r="L27" i="4" l="1"/>
  <c r="M23" i="4"/>
  <c r="I44" i="4"/>
  <c r="K66" i="4"/>
  <c r="L66" i="4"/>
  <c r="M66" i="4"/>
  <c r="N66" i="4"/>
  <c r="M27" i="4" l="1"/>
  <c r="N23" i="4"/>
  <c r="T10" i="4"/>
  <c r="U10" i="4" s="1"/>
  <c r="T11" i="4"/>
  <c r="U11" i="4" s="1"/>
  <c r="T14" i="4"/>
  <c r="U14" i="4" s="1"/>
  <c r="T15" i="4"/>
  <c r="U15" i="4" s="1"/>
  <c r="T16" i="4"/>
  <c r="U16" i="4" s="1"/>
  <c r="T17" i="4"/>
  <c r="U17" i="4" s="1"/>
  <c r="T18" i="4"/>
  <c r="U18" i="4" s="1"/>
  <c r="T19" i="4"/>
  <c r="U19" i="4" s="1"/>
  <c r="T21" i="4"/>
  <c r="U21" i="4" s="1"/>
  <c r="T22" i="4"/>
  <c r="U22" i="4" s="1"/>
  <c r="T23" i="4"/>
  <c r="U23" i="4" s="1"/>
  <c r="S24" i="4"/>
  <c r="T3" i="4"/>
  <c r="U3" i="4" s="1"/>
  <c r="T7" i="4"/>
  <c r="U7" i="4" s="1"/>
  <c r="T8" i="4"/>
  <c r="U8" i="4" s="1"/>
  <c r="T9" i="4"/>
  <c r="U9" i="4" s="1"/>
  <c r="T4" i="4"/>
  <c r="U4" i="4" s="1"/>
  <c r="T5" i="4"/>
  <c r="U5" i="4" s="1"/>
  <c r="J1" i="4"/>
  <c r="H1" i="4"/>
  <c r="T6" i="4"/>
  <c r="U6" i="4" s="1"/>
  <c r="J94" i="1"/>
  <c r="J85" i="1"/>
  <c r="J76" i="1"/>
  <c r="J96" i="1" s="1"/>
  <c r="J7" i="1"/>
  <c r="J10" i="1" s="1"/>
  <c r="J12" i="1" s="1"/>
  <c r="J20" i="1" s="1"/>
  <c r="J58" i="1"/>
  <c r="J45" i="1"/>
  <c r="J59" i="1" s="1"/>
  <c r="J30" i="1"/>
  <c r="J36" i="1" s="1"/>
  <c r="I23" i="4"/>
  <c r="I24" i="4"/>
  <c r="I26" i="4"/>
  <c r="J26" i="4" s="1"/>
  <c r="I27" i="4"/>
  <c r="I28" i="4"/>
  <c r="I29" i="4"/>
  <c r="I31" i="4"/>
  <c r="J31" i="4" s="1"/>
  <c r="I35" i="4"/>
  <c r="I36" i="4"/>
  <c r="J36" i="4" s="1"/>
  <c r="I37" i="4"/>
  <c r="J37" i="4" s="1"/>
  <c r="I38" i="4"/>
  <c r="J38" i="4" s="1"/>
  <c r="I39" i="4"/>
  <c r="J39" i="4" s="1"/>
  <c r="I40" i="4"/>
  <c r="J40" i="4" s="1"/>
  <c r="I42" i="4"/>
  <c r="I43" i="4"/>
  <c r="B43" i="4"/>
  <c r="C43" i="4"/>
  <c r="D43" i="4"/>
  <c r="E43" i="4"/>
  <c r="F43" i="4"/>
  <c r="G43" i="4"/>
  <c r="H43" i="4"/>
  <c r="C69" i="4"/>
  <c r="D69" i="4"/>
  <c r="E69" i="4"/>
  <c r="F69" i="4"/>
  <c r="G69" i="4"/>
  <c r="H69" i="4"/>
  <c r="I69" i="4"/>
  <c r="N27" i="4" l="1"/>
  <c r="J34" i="4"/>
  <c r="T13" i="4"/>
  <c r="U13" i="4" s="1"/>
  <c r="T20" i="4"/>
  <c r="U20" i="4" s="1"/>
  <c r="T12" i="4"/>
  <c r="I41" i="4"/>
  <c r="J60" i="1"/>
  <c r="I34" i="4"/>
  <c r="I45" i="4" s="1"/>
  <c r="J42" i="4"/>
  <c r="M67" i="4"/>
  <c r="I50" i="4"/>
  <c r="I56" i="4"/>
  <c r="I63" i="4" s="1"/>
  <c r="T24" i="4" l="1"/>
  <c r="U24" i="4" s="1"/>
  <c r="L67" i="4"/>
  <c r="N67" i="4"/>
  <c r="B44" i="4"/>
  <c r="K38" i="4"/>
  <c r="L38" i="4" s="1"/>
  <c r="M38" i="4" s="1"/>
  <c r="N38" i="4" s="1"/>
  <c r="B53" i="4"/>
  <c r="B37" i="4"/>
  <c r="I10" i="4"/>
  <c r="I13" i="4"/>
  <c r="B54" i="4" l="1"/>
  <c r="K37" i="4"/>
  <c r="I11" i="4"/>
  <c r="L37" i="4" l="1"/>
  <c r="B56" i="4"/>
  <c r="B75" i="4"/>
  <c r="I73" i="4"/>
  <c r="H73" i="4"/>
  <c r="G73" i="4"/>
  <c r="F73" i="4"/>
  <c r="E73" i="4"/>
  <c r="D73" i="4"/>
  <c r="C73" i="4"/>
  <c r="B73" i="4"/>
  <c r="B69" i="4"/>
  <c r="I66" i="4"/>
  <c r="H66" i="4"/>
  <c r="G66" i="4"/>
  <c r="F66" i="4"/>
  <c r="E66" i="4"/>
  <c r="D66" i="4"/>
  <c r="C66" i="4"/>
  <c r="B66" i="4"/>
  <c r="H56" i="4"/>
  <c r="G56" i="4"/>
  <c r="F56" i="4"/>
  <c r="E56" i="4"/>
  <c r="D56" i="4"/>
  <c r="C56" i="4"/>
  <c r="I53" i="4"/>
  <c r="I54" i="4" s="1"/>
  <c r="H53" i="4"/>
  <c r="G53" i="4"/>
  <c r="F53" i="4"/>
  <c r="E53" i="4"/>
  <c r="D53" i="4"/>
  <c r="C53" i="4"/>
  <c r="H50" i="4"/>
  <c r="G50" i="4"/>
  <c r="F50" i="4"/>
  <c r="E50" i="4"/>
  <c r="D50" i="4"/>
  <c r="C50" i="4"/>
  <c r="B50" i="4"/>
  <c r="K44" i="4"/>
  <c r="L44" i="4" s="1"/>
  <c r="M44" i="4" s="1"/>
  <c r="N44" i="4" s="1"/>
  <c r="H44" i="4"/>
  <c r="G44" i="4"/>
  <c r="F44" i="4"/>
  <c r="E44" i="4"/>
  <c r="D44" i="4"/>
  <c r="C44" i="4"/>
  <c r="H42" i="4"/>
  <c r="G42" i="4"/>
  <c r="F42" i="4"/>
  <c r="E42" i="4"/>
  <c r="D42" i="4"/>
  <c r="C42" i="4"/>
  <c r="B42" i="4"/>
  <c r="K40" i="4"/>
  <c r="L40" i="4" s="1"/>
  <c r="M40" i="4" s="1"/>
  <c r="N40" i="4" s="1"/>
  <c r="H40" i="4"/>
  <c r="G40" i="4"/>
  <c r="F40" i="4"/>
  <c r="E40" i="4"/>
  <c r="D40" i="4"/>
  <c r="C40" i="4"/>
  <c r="B40" i="4"/>
  <c r="K39" i="4"/>
  <c r="L39" i="4" s="1"/>
  <c r="M39" i="4" s="1"/>
  <c r="N39" i="4" s="1"/>
  <c r="H39" i="4"/>
  <c r="G39" i="4"/>
  <c r="F39" i="4"/>
  <c r="E39" i="4"/>
  <c r="D39" i="4"/>
  <c r="C39" i="4"/>
  <c r="B39" i="4"/>
  <c r="H38" i="4"/>
  <c r="G38" i="4"/>
  <c r="F38" i="4"/>
  <c r="E38" i="4"/>
  <c r="D38" i="4"/>
  <c r="C38" i="4"/>
  <c r="B38" i="4"/>
  <c r="H37" i="4"/>
  <c r="G37" i="4"/>
  <c r="F37" i="4"/>
  <c r="E37" i="4"/>
  <c r="D37" i="4"/>
  <c r="C37" i="4"/>
  <c r="H36" i="4"/>
  <c r="G36" i="4"/>
  <c r="F36" i="4"/>
  <c r="E36" i="4"/>
  <c r="D36" i="4"/>
  <c r="C36" i="4"/>
  <c r="B36" i="4"/>
  <c r="K35" i="4"/>
  <c r="L35" i="4" s="1"/>
  <c r="M35" i="4" s="1"/>
  <c r="N35" i="4" s="1"/>
  <c r="H35" i="4"/>
  <c r="G35" i="4"/>
  <c r="F35" i="4"/>
  <c r="E35" i="4"/>
  <c r="D35" i="4"/>
  <c r="C35" i="4"/>
  <c r="B35" i="4"/>
  <c r="H32" i="4"/>
  <c r="G32" i="4"/>
  <c r="F32" i="4"/>
  <c r="E32" i="4"/>
  <c r="D32" i="4"/>
  <c r="C32" i="4"/>
  <c r="B32" i="4"/>
  <c r="K31" i="4"/>
  <c r="L31" i="4" s="1"/>
  <c r="M31" i="4" s="1"/>
  <c r="N31" i="4" s="1"/>
  <c r="H31" i="4"/>
  <c r="G31" i="4"/>
  <c r="F31" i="4"/>
  <c r="E31" i="4"/>
  <c r="D31" i="4"/>
  <c r="C31" i="4"/>
  <c r="B31" i="4"/>
  <c r="H29" i="4"/>
  <c r="G29" i="4"/>
  <c r="F29" i="4"/>
  <c r="E29" i="4"/>
  <c r="D29" i="4"/>
  <c r="C29" i="4"/>
  <c r="B29" i="4"/>
  <c r="H28" i="4"/>
  <c r="G28" i="4"/>
  <c r="F28" i="4"/>
  <c r="E28" i="4"/>
  <c r="D28" i="4"/>
  <c r="C28" i="4"/>
  <c r="B28" i="4"/>
  <c r="H27" i="4"/>
  <c r="G27" i="4"/>
  <c r="F27" i="4"/>
  <c r="E27" i="4"/>
  <c r="D27" i="4"/>
  <c r="C27" i="4"/>
  <c r="B27" i="4"/>
  <c r="K26" i="4"/>
  <c r="L26" i="4" s="1"/>
  <c r="M26" i="4" s="1"/>
  <c r="N26" i="4" s="1"/>
  <c r="H26" i="4"/>
  <c r="G26" i="4"/>
  <c r="F26" i="4"/>
  <c r="E26" i="4"/>
  <c r="D26" i="4"/>
  <c r="C26" i="4"/>
  <c r="B26" i="4"/>
  <c r="H24" i="4"/>
  <c r="G24" i="4"/>
  <c r="F24" i="4"/>
  <c r="E24" i="4"/>
  <c r="D24" i="4"/>
  <c r="C24" i="4"/>
  <c r="H23" i="4"/>
  <c r="G23" i="4"/>
  <c r="F23" i="4"/>
  <c r="E23" i="4"/>
  <c r="D23" i="4"/>
  <c r="C23" i="4"/>
  <c r="B23" i="4"/>
  <c r="I16" i="4"/>
  <c r="H16" i="4"/>
  <c r="G16" i="4"/>
  <c r="F16" i="4"/>
  <c r="E16" i="4"/>
  <c r="D16" i="4"/>
  <c r="C16" i="4"/>
  <c r="B16" i="4"/>
  <c r="H13" i="4"/>
  <c r="G13" i="4"/>
  <c r="F13" i="4"/>
  <c r="E13" i="4"/>
  <c r="D13" i="4"/>
  <c r="C13" i="4"/>
  <c r="B13" i="4"/>
  <c r="H10" i="4"/>
  <c r="G10" i="4"/>
  <c r="F10" i="4"/>
  <c r="E10" i="4"/>
  <c r="D10" i="4"/>
  <c r="C10" i="4"/>
  <c r="B10" i="4"/>
  <c r="B11" i="4" s="1"/>
  <c r="I211" i="3"/>
  <c r="H211" i="3"/>
  <c r="G211" i="3"/>
  <c r="F211" i="3"/>
  <c r="E211" i="3"/>
  <c r="D211" i="3"/>
  <c r="E212" i="3" s="1"/>
  <c r="C211" i="3"/>
  <c r="B211" i="3"/>
  <c r="B212" i="3" s="1"/>
  <c r="I205" i="3"/>
  <c r="H205" i="3"/>
  <c r="G205" i="3"/>
  <c r="F205" i="3"/>
  <c r="E205" i="3"/>
  <c r="D205" i="3"/>
  <c r="C205" i="3"/>
  <c r="B205" i="3"/>
  <c r="I201" i="3"/>
  <c r="H201" i="3"/>
  <c r="G201" i="3"/>
  <c r="H202" i="3" s="1"/>
  <c r="F201" i="3"/>
  <c r="F202" i="3" s="1"/>
  <c r="E201" i="3"/>
  <c r="D201" i="3"/>
  <c r="C201" i="3"/>
  <c r="B201" i="3"/>
  <c r="B202" i="3" s="1"/>
  <c r="I196" i="3"/>
  <c r="H196" i="3"/>
  <c r="G196" i="3"/>
  <c r="F196" i="3"/>
  <c r="F213" i="3" s="1"/>
  <c r="E196" i="3"/>
  <c r="D196" i="3"/>
  <c r="C196" i="3"/>
  <c r="B196" i="3"/>
  <c r="I192" i="3"/>
  <c r="H192" i="3"/>
  <c r="G192" i="3"/>
  <c r="F192" i="3"/>
  <c r="E192" i="3"/>
  <c r="D192" i="3"/>
  <c r="E193" i="3" s="1"/>
  <c r="C192" i="3"/>
  <c r="B192" i="3"/>
  <c r="B193" i="3" s="1"/>
  <c r="I189" i="3"/>
  <c r="H189" i="3"/>
  <c r="G189" i="3"/>
  <c r="F189" i="3"/>
  <c r="E189" i="3"/>
  <c r="D189" i="3"/>
  <c r="C189" i="3"/>
  <c r="B189" i="3"/>
  <c r="B190" i="3" s="1"/>
  <c r="I186" i="3"/>
  <c r="T66" i="3" s="1"/>
  <c r="U66" i="3" s="1"/>
  <c r="H186" i="3"/>
  <c r="G186" i="3"/>
  <c r="F186" i="3"/>
  <c r="E186" i="3"/>
  <c r="D186" i="3"/>
  <c r="C186" i="3"/>
  <c r="B186" i="3"/>
  <c r="B187" i="3" s="1"/>
  <c r="I182" i="3"/>
  <c r="H182" i="3"/>
  <c r="G182" i="3"/>
  <c r="F182" i="3"/>
  <c r="F185" i="3" s="1"/>
  <c r="E182" i="3"/>
  <c r="D182" i="3"/>
  <c r="C182" i="3"/>
  <c r="B182" i="3"/>
  <c r="I177" i="3"/>
  <c r="T64" i="3" s="1"/>
  <c r="U64" i="3" s="1"/>
  <c r="H177" i="3"/>
  <c r="G177" i="3"/>
  <c r="F177" i="3"/>
  <c r="E177" i="3"/>
  <c r="D177" i="3"/>
  <c r="C177" i="3"/>
  <c r="B177" i="3"/>
  <c r="B178" i="3" s="1"/>
  <c r="D175" i="3"/>
  <c r="D174" i="3"/>
  <c r="C174" i="3"/>
  <c r="D173" i="3"/>
  <c r="C173" i="3"/>
  <c r="B173" i="3"/>
  <c r="D172" i="3"/>
  <c r="D171" i="3" s="1"/>
  <c r="C172" i="3"/>
  <c r="C171" i="3" s="1"/>
  <c r="I166" i="3"/>
  <c r="H166" i="3"/>
  <c r="G166" i="3"/>
  <c r="F166" i="3"/>
  <c r="E166" i="3"/>
  <c r="D166" i="3"/>
  <c r="C166" i="3"/>
  <c r="B166" i="3"/>
  <c r="I163" i="3"/>
  <c r="H163" i="3"/>
  <c r="G163" i="3"/>
  <c r="F163" i="3"/>
  <c r="E163" i="3"/>
  <c r="D163" i="3"/>
  <c r="C163" i="3"/>
  <c r="B163" i="3"/>
  <c r="I160" i="3"/>
  <c r="H160" i="3"/>
  <c r="H162" i="3" s="1"/>
  <c r="G160" i="3"/>
  <c r="F160" i="3"/>
  <c r="E160" i="3"/>
  <c r="D160" i="3"/>
  <c r="C160" i="3"/>
  <c r="B160" i="3"/>
  <c r="I156" i="3"/>
  <c r="H156" i="3"/>
  <c r="G156" i="3"/>
  <c r="F156" i="3"/>
  <c r="E156" i="3"/>
  <c r="D156" i="3"/>
  <c r="C156" i="3"/>
  <c r="B156" i="3"/>
  <c r="B157" i="3" s="1"/>
  <c r="I151" i="3"/>
  <c r="T58" i="3" s="1"/>
  <c r="U58" i="3" s="1"/>
  <c r="H151" i="3"/>
  <c r="G151" i="3"/>
  <c r="F151" i="3"/>
  <c r="E151" i="3"/>
  <c r="E158" i="3" s="1"/>
  <c r="D151" i="3"/>
  <c r="C151" i="3"/>
  <c r="B151" i="3"/>
  <c r="B152" i="3" s="1"/>
  <c r="I147" i="3"/>
  <c r="H147" i="3"/>
  <c r="G147" i="3"/>
  <c r="F147" i="3"/>
  <c r="E147" i="3"/>
  <c r="D147" i="3"/>
  <c r="C147" i="3"/>
  <c r="B147" i="3"/>
  <c r="B148" i="3" s="1"/>
  <c r="I144" i="3"/>
  <c r="H144" i="3"/>
  <c r="G144" i="3"/>
  <c r="F144" i="3"/>
  <c r="E144" i="3"/>
  <c r="D144" i="3"/>
  <c r="C144" i="3"/>
  <c r="B144" i="3"/>
  <c r="B145" i="3" s="1"/>
  <c r="I141" i="3"/>
  <c r="T54" i="3" s="1"/>
  <c r="H141" i="3"/>
  <c r="G141" i="3"/>
  <c r="F141" i="3"/>
  <c r="E141" i="3"/>
  <c r="D141" i="3"/>
  <c r="C141" i="3"/>
  <c r="B141" i="3"/>
  <c r="B142" i="3" s="1"/>
  <c r="I137" i="3"/>
  <c r="H137" i="3"/>
  <c r="G137" i="3"/>
  <c r="F137" i="3"/>
  <c r="E137" i="3"/>
  <c r="D137" i="3"/>
  <c r="C137" i="3"/>
  <c r="B137" i="3"/>
  <c r="C138" i="3" s="1"/>
  <c r="I132" i="3"/>
  <c r="H132" i="3"/>
  <c r="G132" i="3"/>
  <c r="F132" i="3"/>
  <c r="E132" i="3"/>
  <c r="D132" i="3"/>
  <c r="J132" i="3" s="1"/>
  <c r="C132" i="3"/>
  <c r="B132" i="3"/>
  <c r="I128" i="3"/>
  <c r="H128" i="3"/>
  <c r="G128" i="3"/>
  <c r="F128" i="3"/>
  <c r="E128" i="3"/>
  <c r="D128" i="3"/>
  <c r="C128" i="3"/>
  <c r="B128" i="3"/>
  <c r="I126" i="3"/>
  <c r="H126" i="3"/>
  <c r="G126" i="3"/>
  <c r="F126" i="3"/>
  <c r="E126" i="3"/>
  <c r="D126" i="3"/>
  <c r="C126" i="3"/>
  <c r="D127" i="3" s="1"/>
  <c r="B126" i="3"/>
  <c r="B127" i="3" s="1"/>
  <c r="I124" i="3"/>
  <c r="H124" i="3"/>
  <c r="G124" i="3"/>
  <c r="F124" i="3"/>
  <c r="E124" i="3"/>
  <c r="D124" i="3"/>
  <c r="C124" i="3"/>
  <c r="B124" i="3"/>
  <c r="I122" i="3"/>
  <c r="H122" i="3"/>
  <c r="G122" i="3"/>
  <c r="F122" i="3"/>
  <c r="E122" i="3"/>
  <c r="D122" i="3"/>
  <c r="C122" i="3"/>
  <c r="B122" i="3"/>
  <c r="B123" i="3" s="1"/>
  <c r="I120" i="3"/>
  <c r="H120" i="3"/>
  <c r="G120" i="3"/>
  <c r="F120" i="3"/>
  <c r="E120" i="3"/>
  <c r="D120" i="3"/>
  <c r="C120" i="3"/>
  <c r="B120" i="3"/>
  <c r="I114" i="3"/>
  <c r="H114" i="3"/>
  <c r="G114" i="3"/>
  <c r="F114" i="3"/>
  <c r="E114" i="3"/>
  <c r="D114" i="3"/>
  <c r="C114" i="3"/>
  <c r="B114" i="3"/>
  <c r="B115" i="3" s="1"/>
  <c r="I111" i="3"/>
  <c r="H111" i="3"/>
  <c r="G111" i="3"/>
  <c r="F111" i="3"/>
  <c r="G112" i="3" s="1"/>
  <c r="E111" i="3"/>
  <c r="D111" i="3"/>
  <c r="C111" i="3"/>
  <c r="B111" i="3"/>
  <c r="I108" i="3"/>
  <c r="T42" i="3" s="1"/>
  <c r="H108" i="3"/>
  <c r="G108" i="3"/>
  <c r="F108" i="3"/>
  <c r="E108" i="3"/>
  <c r="D108" i="3"/>
  <c r="C108" i="3"/>
  <c r="B108" i="3"/>
  <c r="B109" i="3" s="1"/>
  <c r="I104" i="3"/>
  <c r="H104" i="3"/>
  <c r="G104" i="3"/>
  <c r="F104" i="3"/>
  <c r="E104" i="3"/>
  <c r="D104" i="3"/>
  <c r="C104" i="3"/>
  <c r="B104" i="3"/>
  <c r="I99" i="3"/>
  <c r="H99" i="3"/>
  <c r="G99" i="3"/>
  <c r="F99" i="3"/>
  <c r="E99" i="3"/>
  <c r="D99" i="3"/>
  <c r="C99" i="3"/>
  <c r="B99" i="3"/>
  <c r="I95" i="3"/>
  <c r="H95" i="3"/>
  <c r="G95" i="3"/>
  <c r="F95" i="3"/>
  <c r="E95" i="3"/>
  <c r="D95" i="3"/>
  <c r="C95" i="3"/>
  <c r="B95" i="3"/>
  <c r="I93" i="3"/>
  <c r="T38" i="3" s="1"/>
  <c r="H93" i="3"/>
  <c r="G93" i="3"/>
  <c r="F93" i="3"/>
  <c r="E93" i="3"/>
  <c r="D93" i="3"/>
  <c r="C93" i="3"/>
  <c r="B93" i="3"/>
  <c r="I91" i="3"/>
  <c r="H91" i="3"/>
  <c r="G91" i="3"/>
  <c r="F91" i="3"/>
  <c r="E91" i="3"/>
  <c r="D91" i="3"/>
  <c r="C91" i="3"/>
  <c r="B91" i="3"/>
  <c r="I89" i="3"/>
  <c r="T36" i="3" s="1"/>
  <c r="H89" i="3"/>
  <c r="H90" i="3" s="1"/>
  <c r="G89" i="3"/>
  <c r="F89" i="3"/>
  <c r="E89" i="3"/>
  <c r="E90" i="3" s="1"/>
  <c r="E92" i="3" s="1"/>
  <c r="D89" i="3"/>
  <c r="C89" i="3"/>
  <c r="B89" i="3"/>
  <c r="B90" i="3" s="1"/>
  <c r="I87" i="3"/>
  <c r="H87" i="3"/>
  <c r="G87" i="3"/>
  <c r="F87" i="3"/>
  <c r="E87" i="3"/>
  <c r="D87" i="3"/>
  <c r="C87" i="3"/>
  <c r="B87" i="3"/>
  <c r="I81" i="3"/>
  <c r="H81" i="3"/>
  <c r="G81" i="3"/>
  <c r="F81" i="3"/>
  <c r="E81" i="3"/>
  <c r="D81" i="3"/>
  <c r="C81" i="3"/>
  <c r="B81" i="3"/>
  <c r="B82" i="3" s="1"/>
  <c r="I78" i="3"/>
  <c r="H78" i="3"/>
  <c r="G78" i="3"/>
  <c r="F78" i="3"/>
  <c r="E78" i="3"/>
  <c r="F79" i="3" s="1"/>
  <c r="D78" i="3"/>
  <c r="C78" i="3"/>
  <c r="B78" i="3"/>
  <c r="C79" i="3" s="1"/>
  <c r="I75" i="3"/>
  <c r="H75" i="3"/>
  <c r="G75" i="3"/>
  <c r="F75" i="3"/>
  <c r="E75" i="3"/>
  <c r="D75" i="3"/>
  <c r="C75" i="3"/>
  <c r="B75" i="3"/>
  <c r="I71" i="3"/>
  <c r="H71" i="3"/>
  <c r="G71" i="3"/>
  <c r="F71" i="3"/>
  <c r="E71" i="3"/>
  <c r="E74" i="3" s="1"/>
  <c r="D71" i="3"/>
  <c r="C71" i="3"/>
  <c r="B71" i="3"/>
  <c r="B72" i="3" s="1"/>
  <c r="I66" i="3"/>
  <c r="H66" i="3"/>
  <c r="G66" i="3"/>
  <c r="F66" i="3"/>
  <c r="E66" i="3"/>
  <c r="D66" i="3"/>
  <c r="C66" i="3"/>
  <c r="B66" i="3"/>
  <c r="I62" i="3"/>
  <c r="H62" i="3"/>
  <c r="G62" i="3"/>
  <c r="F62" i="3"/>
  <c r="E62" i="3"/>
  <c r="D62" i="3"/>
  <c r="C62" i="3"/>
  <c r="B62" i="3"/>
  <c r="I60" i="3"/>
  <c r="H60" i="3"/>
  <c r="G60" i="3"/>
  <c r="F60" i="3"/>
  <c r="E60" i="3"/>
  <c r="D60" i="3"/>
  <c r="C60" i="3"/>
  <c r="B60" i="3"/>
  <c r="B61" i="3" s="1"/>
  <c r="I58" i="3"/>
  <c r="H58" i="3"/>
  <c r="G58" i="3"/>
  <c r="F58" i="3"/>
  <c r="E58" i="3"/>
  <c r="D58" i="3"/>
  <c r="C58" i="3"/>
  <c r="B58" i="3"/>
  <c r="I56" i="3"/>
  <c r="T24" i="3" s="1"/>
  <c r="H56" i="3"/>
  <c r="G56" i="3"/>
  <c r="F56" i="3"/>
  <c r="E56" i="3"/>
  <c r="D56" i="3"/>
  <c r="C56" i="3"/>
  <c r="B56" i="3"/>
  <c r="B57" i="3" s="1"/>
  <c r="I54" i="3"/>
  <c r="H54" i="3"/>
  <c r="G54" i="3"/>
  <c r="F54" i="3"/>
  <c r="E54" i="3"/>
  <c r="D54" i="3"/>
  <c r="C54" i="3"/>
  <c r="B54" i="3"/>
  <c r="I48" i="3"/>
  <c r="H48" i="3"/>
  <c r="G48" i="3"/>
  <c r="F48" i="3"/>
  <c r="E48" i="3"/>
  <c r="D48" i="3"/>
  <c r="C48" i="3"/>
  <c r="B48" i="3"/>
  <c r="I45" i="3"/>
  <c r="H45" i="3"/>
  <c r="G45" i="3"/>
  <c r="F45" i="3"/>
  <c r="E45" i="3"/>
  <c r="D45" i="3"/>
  <c r="C45" i="3"/>
  <c r="B45" i="3"/>
  <c r="B46" i="3" s="1"/>
  <c r="I42" i="3"/>
  <c r="H42" i="3"/>
  <c r="G42" i="3"/>
  <c r="F42" i="3"/>
  <c r="E42" i="3"/>
  <c r="D42" i="3"/>
  <c r="C42" i="3"/>
  <c r="B42" i="3"/>
  <c r="I38" i="3"/>
  <c r="H38" i="3"/>
  <c r="G38" i="3"/>
  <c r="F38" i="3"/>
  <c r="E38" i="3"/>
  <c r="D38" i="3"/>
  <c r="C38" i="3"/>
  <c r="B38" i="3"/>
  <c r="B35" i="3" s="1"/>
  <c r="I33" i="3"/>
  <c r="H33" i="3"/>
  <c r="G33" i="3"/>
  <c r="F33" i="3"/>
  <c r="E33" i="3"/>
  <c r="D33" i="3"/>
  <c r="C33" i="3"/>
  <c r="B33" i="3"/>
  <c r="I29" i="3"/>
  <c r="H29" i="3"/>
  <c r="G29" i="3"/>
  <c r="F29" i="3"/>
  <c r="E29" i="3"/>
  <c r="D29" i="3"/>
  <c r="C29" i="3"/>
  <c r="B29" i="3"/>
  <c r="I27" i="3"/>
  <c r="T14" i="3" s="1"/>
  <c r="H27" i="3"/>
  <c r="G27" i="3"/>
  <c r="F27" i="3"/>
  <c r="E27" i="3"/>
  <c r="D27" i="3"/>
  <c r="C27" i="3"/>
  <c r="B27" i="3"/>
  <c r="B28" i="3" s="1"/>
  <c r="I25" i="3"/>
  <c r="H25" i="3"/>
  <c r="G25" i="3"/>
  <c r="F25" i="3"/>
  <c r="E25" i="3"/>
  <c r="D25" i="3"/>
  <c r="C25" i="3"/>
  <c r="B25" i="3"/>
  <c r="I23" i="3"/>
  <c r="T12" i="3" s="1"/>
  <c r="H23" i="3"/>
  <c r="G23" i="3"/>
  <c r="F23" i="3"/>
  <c r="E23" i="3"/>
  <c r="D23" i="3"/>
  <c r="C23" i="3"/>
  <c r="B23" i="3"/>
  <c r="B24" i="3" s="1"/>
  <c r="A20" i="3"/>
  <c r="D183" i="3"/>
  <c r="E140" i="3"/>
  <c r="B140" i="3"/>
  <c r="F138" i="3"/>
  <c r="T73" i="3"/>
  <c r="T67" i="3"/>
  <c r="T61" i="3"/>
  <c r="T45" i="3"/>
  <c r="T55" i="3" s="1"/>
  <c r="U44" i="3"/>
  <c r="B43" i="3"/>
  <c r="T33" i="3"/>
  <c r="U32" i="3"/>
  <c r="T21" i="3"/>
  <c r="T31" i="3" s="1"/>
  <c r="T9" i="3"/>
  <c r="T19" i="3" s="1"/>
  <c r="U19" i="3" s="1"/>
  <c r="T5" i="3"/>
  <c r="J1" i="3"/>
  <c r="K1" i="3" s="1"/>
  <c r="L1" i="3" s="1"/>
  <c r="M1" i="3" s="1"/>
  <c r="N1" i="3" s="1"/>
  <c r="H1" i="3"/>
  <c r="G1" i="3"/>
  <c r="F1" i="3" s="1"/>
  <c r="E1" i="3" s="1"/>
  <c r="D1" i="3" s="1"/>
  <c r="C1" i="3" s="1"/>
  <c r="B1" i="3" s="1"/>
  <c r="E200" i="1"/>
  <c r="E201" i="1" s="1"/>
  <c r="I197" i="1"/>
  <c r="I200" i="1" s="1"/>
  <c r="I201" i="1" s="1"/>
  <c r="H197" i="1"/>
  <c r="H200" i="1" s="1"/>
  <c r="H201" i="1" s="1"/>
  <c r="G197" i="1"/>
  <c r="G200" i="1" s="1"/>
  <c r="G201" i="1" s="1"/>
  <c r="F197" i="1"/>
  <c r="F200" i="1" s="1"/>
  <c r="F201" i="1" s="1"/>
  <c r="D197" i="1"/>
  <c r="D200" i="1" s="1"/>
  <c r="D201" i="1" s="1"/>
  <c r="C197" i="1"/>
  <c r="C200" i="1" s="1"/>
  <c r="C201" i="1" s="1"/>
  <c r="B195" i="1"/>
  <c r="B197" i="1" s="1"/>
  <c r="B200" i="1" s="1"/>
  <c r="B201" i="1" s="1"/>
  <c r="I185" i="1"/>
  <c r="I187" i="1" s="1"/>
  <c r="H185" i="1"/>
  <c r="H187" i="1" s="1"/>
  <c r="H188" i="1" s="1"/>
  <c r="H189" i="1" s="1"/>
  <c r="G185" i="1"/>
  <c r="G187" i="1" s="1"/>
  <c r="G188" i="1" s="1"/>
  <c r="G189" i="1" s="1"/>
  <c r="F185" i="1"/>
  <c r="F187" i="1" s="1"/>
  <c r="F188" i="1" s="1"/>
  <c r="F189" i="1" s="1"/>
  <c r="E185" i="1"/>
  <c r="E187" i="1" s="1"/>
  <c r="E188" i="1" s="1"/>
  <c r="E189" i="1" s="1"/>
  <c r="D185" i="1"/>
  <c r="D187" i="1" s="1"/>
  <c r="D188" i="1" s="1"/>
  <c r="D189" i="1" s="1"/>
  <c r="C185" i="1"/>
  <c r="C187" i="1" s="1"/>
  <c r="C188" i="1" s="1"/>
  <c r="C189" i="1" s="1"/>
  <c r="B183" i="1"/>
  <c r="B185" i="1" s="1"/>
  <c r="I173" i="1"/>
  <c r="I176" i="1" s="1"/>
  <c r="I177" i="1" s="1"/>
  <c r="H173" i="1"/>
  <c r="H176" i="1" s="1"/>
  <c r="H177" i="1" s="1"/>
  <c r="G173" i="1"/>
  <c r="G176" i="1" s="1"/>
  <c r="G177" i="1" s="1"/>
  <c r="F173" i="1"/>
  <c r="F176" i="1" s="1"/>
  <c r="F177" i="1" s="1"/>
  <c r="E173" i="1"/>
  <c r="E176" i="1" s="1"/>
  <c r="E177" i="1" s="1"/>
  <c r="D173" i="1"/>
  <c r="D176" i="1" s="1"/>
  <c r="D177" i="1" s="1"/>
  <c r="C171" i="1"/>
  <c r="C173" i="1" s="1"/>
  <c r="C176" i="1" s="1"/>
  <c r="C177" i="1" s="1"/>
  <c r="B171" i="1"/>
  <c r="B175" i="3" s="1"/>
  <c r="I161" i="1"/>
  <c r="I164" i="1" s="1"/>
  <c r="H161" i="1"/>
  <c r="H164" i="1" s="1"/>
  <c r="G161" i="1"/>
  <c r="G164" i="1" s="1"/>
  <c r="F161" i="1"/>
  <c r="F164" i="1" s="1"/>
  <c r="E161" i="1"/>
  <c r="E164" i="1" s="1"/>
  <c r="D161" i="1"/>
  <c r="D164" i="1" s="1"/>
  <c r="C161" i="1"/>
  <c r="C164" i="1" s="1"/>
  <c r="B161" i="1"/>
  <c r="B164" i="1" s="1"/>
  <c r="D137" i="1"/>
  <c r="C137" i="1"/>
  <c r="B137" i="1"/>
  <c r="D133" i="1"/>
  <c r="C133" i="1"/>
  <c r="B133" i="1"/>
  <c r="D129" i="1"/>
  <c r="C129" i="1"/>
  <c r="B129" i="1"/>
  <c r="D125" i="1"/>
  <c r="C125" i="1"/>
  <c r="B125" i="1"/>
  <c r="I121" i="1"/>
  <c r="I118" i="3" s="1"/>
  <c r="H121" i="1"/>
  <c r="H118" i="3" s="1"/>
  <c r="G121" i="1"/>
  <c r="G118" i="3" s="1"/>
  <c r="F121" i="1"/>
  <c r="F118" i="3" s="1"/>
  <c r="F146" i="3" s="1"/>
  <c r="E121" i="1"/>
  <c r="E118" i="3" s="1"/>
  <c r="D121" i="1"/>
  <c r="D118" i="3" s="1"/>
  <c r="C121" i="1"/>
  <c r="C118" i="3" s="1"/>
  <c r="B121" i="1"/>
  <c r="B118" i="3" s="1"/>
  <c r="I117" i="1"/>
  <c r="I85" i="3" s="1"/>
  <c r="H117" i="1"/>
  <c r="H85" i="3" s="1"/>
  <c r="G117" i="1"/>
  <c r="G85" i="3" s="1"/>
  <c r="F117" i="1"/>
  <c r="F85" i="3" s="1"/>
  <c r="E117" i="1"/>
  <c r="E85" i="3" s="1"/>
  <c r="D117" i="1"/>
  <c r="D85" i="3" s="1"/>
  <c r="C117" i="1"/>
  <c r="C85" i="3" s="1"/>
  <c r="C110" i="3" s="1"/>
  <c r="B117" i="1"/>
  <c r="B85" i="3" s="1"/>
  <c r="I113" i="1"/>
  <c r="I52" i="3" s="1"/>
  <c r="H113" i="1"/>
  <c r="H52" i="3" s="1"/>
  <c r="G113" i="1"/>
  <c r="G52" i="3" s="1"/>
  <c r="F113" i="1"/>
  <c r="F52" i="3" s="1"/>
  <c r="E113" i="1"/>
  <c r="E52" i="3" s="1"/>
  <c r="D113" i="1"/>
  <c r="D52" i="3" s="1"/>
  <c r="C113" i="1"/>
  <c r="C52" i="3" s="1"/>
  <c r="B113" i="1"/>
  <c r="B52" i="3" s="1"/>
  <c r="I109" i="1"/>
  <c r="H109" i="1"/>
  <c r="G109" i="1"/>
  <c r="F109" i="1"/>
  <c r="F21" i="3" s="1"/>
  <c r="E109" i="1"/>
  <c r="D109" i="1"/>
  <c r="C109" i="1"/>
  <c r="C21" i="3" s="1"/>
  <c r="B109" i="1"/>
  <c r="I94" i="1"/>
  <c r="H94" i="1"/>
  <c r="G94" i="1"/>
  <c r="F94" i="1"/>
  <c r="E94" i="1"/>
  <c r="D93" i="1"/>
  <c r="D94" i="1" s="1"/>
  <c r="C93" i="1"/>
  <c r="C94" i="1" s="1"/>
  <c r="B93" i="1"/>
  <c r="B94" i="1" s="1"/>
  <c r="I85" i="1"/>
  <c r="I64" i="4" s="1"/>
  <c r="I65" i="4" s="1"/>
  <c r="H85" i="1"/>
  <c r="G85" i="1"/>
  <c r="F85" i="1"/>
  <c r="E85" i="1"/>
  <c r="D85" i="1"/>
  <c r="C85" i="1"/>
  <c r="B85" i="1"/>
  <c r="I58" i="1"/>
  <c r="H58" i="1"/>
  <c r="G58" i="1"/>
  <c r="F58" i="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H4" i="1"/>
  <c r="G4" i="1"/>
  <c r="F4" i="1"/>
  <c r="E4" i="1"/>
  <c r="D4" i="1"/>
  <c r="C4" i="1"/>
  <c r="B4" i="1"/>
  <c r="H1" i="1"/>
  <c r="G1" i="1"/>
  <c r="F1" i="1" s="1"/>
  <c r="E1" i="1" s="1"/>
  <c r="D1" i="1" s="1"/>
  <c r="C1" i="1" s="1"/>
  <c r="B1" i="1" s="1"/>
  <c r="J66" i="4" l="1"/>
  <c r="K67" i="4" s="1"/>
  <c r="G59" i="1"/>
  <c r="G60" i="1" s="1"/>
  <c r="H39" i="3"/>
  <c r="G105" i="3"/>
  <c r="D115" i="3"/>
  <c r="C140" i="3"/>
  <c r="B179" i="3"/>
  <c r="B180" i="3" s="1"/>
  <c r="F59" i="1"/>
  <c r="F60" i="1" s="1"/>
  <c r="H92" i="3"/>
  <c r="H59" i="1"/>
  <c r="H60" i="1" s="1"/>
  <c r="J28" i="4"/>
  <c r="J63" i="4" s="1"/>
  <c r="D54" i="4"/>
  <c r="G109" i="3"/>
  <c r="F193" i="3"/>
  <c r="H113" i="3"/>
  <c r="G193" i="3"/>
  <c r="B107" i="3"/>
  <c r="C107" i="3"/>
  <c r="H112" i="3"/>
  <c r="C123" i="3"/>
  <c r="C125" i="3" s="1"/>
  <c r="H164" i="3"/>
  <c r="E197" i="3"/>
  <c r="F123" i="3"/>
  <c r="B162" i="3"/>
  <c r="F39" i="3"/>
  <c r="F90" i="3"/>
  <c r="G138" i="3"/>
  <c r="B134" i="3"/>
  <c r="B135" i="3" s="1"/>
  <c r="G115" i="3"/>
  <c r="C198" i="3"/>
  <c r="C200" i="3" s="1"/>
  <c r="G90" i="3"/>
  <c r="G92" i="3" s="1"/>
  <c r="F82" i="3"/>
  <c r="B138" i="3"/>
  <c r="B59" i="1"/>
  <c r="E202" i="3"/>
  <c r="E24" i="3"/>
  <c r="E26" i="3" s="1"/>
  <c r="C72" i="3"/>
  <c r="B92" i="3"/>
  <c r="G152" i="3"/>
  <c r="B173" i="1"/>
  <c r="B176" i="1" s="1"/>
  <c r="B177" i="1" s="1"/>
  <c r="F24" i="3"/>
  <c r="F26" i="3" s="1"/>
  <c r="G24" i="3"/>
  <c r="E127" i="3"/>
  <c r="E129" i="3" s="1"/>
  <c r="B110" i="3"/>
  <c r="C148" i="3"/>
  <c r="H41" i="3"/>
  <c r="B125" i="3"/>
  <c r="G127" i="3"/>
  <c r="G129" i="3" s="1"/>
  <c r="G145" i="3"/>
  <c r="D24" i="3"/>
  <c r="D26" i="3" s="1"/>
  <c r="B129" i="3"/>
  <c r="F158" i="3"/>
  <c r="F107" i="3"/>
  <c r="C159" i="3"/>
  <c r="E207" i="3"/>
  <c r="E59" i="1"/>
  <c r="E60" i="1" s="1"/>
  <c r="F183" i="3"/>
  <c r="E123" i="3"/>
  <c r="E125" i="3" s="1"/>
  <c r="F157" i="3"/>
  <c r="H138" i="3"/>
  <c r="D167" i="3"/>
  <c r="F140" i="3"/>
  <c r="F101" i="3"/>
  <c r="F103" i="3" s="1"/>
  <c r="G140" i="3"/>
  <c r="C153" i="3"/>
  <c r="F159" i="3"/>
  <c r="D10" i="1"/>
  <c r="D12" i="1" s="1"/>
  <c r="D130" i="3"/>
  <c r="G190" i="3"/>
  <c r="F212" i="3"/>
  <c r="C24" i="3"/>
  <c r="C26" i="3" s="1"/>
  <c r="H123" i="3"/>
  <c r="H125" i="3" s="1"/>
  <c r="G197" i="3"/>
  <c r="H110" i="3"/>
  <c r="F10" i="1"/>
  <c r="F12" i="1" s="1"/>
  <c r="F64" i="1" s="1"/>
  <c r="F76" i="1" s="1"/>
  <c r="F96" i="1" s="1"/>
  <c r="F98" i="1" s="1"/>
  <c r="F99" i="1" s="1"/>
  <c r="D202" i="3"/>
  <c r="B39" i="3"/>
  <c r="G139" i="3"/>
  <c r="C61" i="3"/>
  <c r="C63" i="3" s="1"/>
  <c r="G162" i="3"/>
  <c r="E80" i="3"/>
  <c r="E77" i="3"/>
  <c r="F53" i="3"/>
  <c r="F55" i="3" s="1"/>
  <c r="C31" i="3"/>
  <c r="D185" i="3"/>
  <c r="I76" i="3"/>
  <c r="B174" i="3"/>
  <c r="C212" i="3"/>
  <c r="F109" i="3"/>
  <c r="B142" i="1"/>
  <c r="B149" i="1" s="1"/>
  <c r="D57" i="3"/>
  <c r="D59" i="3" s="1"/>
  <c r="H142" i="1"/>
  <c r="H149" i="1" s="1"/>
  <c r="H150" i="1" s="1"/>
  <c r="J95" i="3"/>
  <c r="C187" i="3"/>
  <c r="F142" i="3"/>
  <c r="D41" i="3"/>
  <c r="G185" i="3"/>
  <c r="I10" i="1"/>
  <c r="I12" i="1" s="1"/>
  <c r="I20" i="1" s="1"/>
  <c r="I68" i="3"/>
  <c r="I70" i="3" s="1"/>
  <c r="H127" i="3"/>
  <c r="H129" i="3" s="1"/>
  <c r="D140" i="3"/>
  <c r="H146" i="3"/>
  <c r="D153" i="3"/>
  <c r="D155" i="3" s="1"/>
  <c r="I164" i="3"/>
  <c r="D206" i="3"/>
  <c r="D61" i="3"/>
  <c r="D63" i="3" s="1"/>
  <c r="G212" i="3"/>
  <c r="E165" i="3"/>
  <c r="I142" i="1"/>
  <c r="I149" i="1" s="1"/>
  <c r="B150" i="1" s="1"/>
  <c r="G10" i="1"/>
  <c r="G12" i="1" s="1"/>
  <c r="G64" i="1" s="1"/>
  <c r="G76" i="1" s="1"/>
  <c r="G96" i="1" s="1"/>
  <c r="G98" i="1" s="1"/>
  <c r="G165" i="1"/>
  <c r="B77" i="3"/>
  <c r="E179" i="3"/>
  <c r="E181" i="3" s="1"/>
  <c r="B170" i="3"/>
  <c r="T30" i="3"/>
  <c r="F187" i="3"/>
  <c r="F198" i="3"/>
  <c r="F200" i="3" s="1"/>
  <c r="G101" i="3"/>
  <c r="F94" i="3"/>
  <c r="F96" i="3" s="1"/>
  <c r="G183" i="3"/>
  <c r="F127" i="3"/>
  <c r="F129" i="3" s="1"/>
  <c r="C109" i="3"/>
  <c r="G179" i="3"/>
  <c r="G181" i="3" s="1"/>
  <c r="G167" i="3"/>
  <c r="D86" i="3"/>
  <c r="D88" i="3" s="1"/>
  <c r="C170" i="3"/>
  <c r="C3" i="3" s="1"/>
  <c r="C94" i="3"/>
  <c r="C96" i="3" s="1"/>
  <c r="E145" i="3"/>
  <c r="D35" i="3"/>
  <c r="D170" i="3"/>
  <c r="B30" i="3"/>
  <c r="G64" i="3"/>
  <c r="H198" i="3"/>
  <c r="H200" i="3" s="1"/>
  <c r="C142" i="3"/>
  <c r="B204" i="3"/>
  <c r="C152" i="3"/>
  <c r="C113" i="3"/>
  <c r="E204" i="3"/>
  <c r="G142" i="1"/>
  <c r="G149" i="1" s="1"/>
  <c r="G150" i="1" s="1"/>
  <c r="F197" i="3"/>
  <c r="E64" i="3"/>
  <c r="H10" i="1"/>
  <c r="H12" i="1" s="1"/>
  <c r="H64" i="1" s="1"/>
  <c r="H76" i="1" s="1"/>
  <c r="H96" i="1" s="1"/>
  <c r="H77" i="3"/>
  <c r="B79" i="3"/>
  <c r="C46" i="3"/>
  <c r="J58" i="3"/>
  <c r="K58" i="3" s="1"/>
  <c r="F76" i="3"/>
  <c r="D101" i="3"/>
  <c r="D103" i="3" s="1"/>
  <c r="I123" i="3"/>
  <c r="I125" i="3" s="1"/>
  <c r="E168" i="3"/>
  <c r="E194" i="3"/>
  <c r="E54" i="4"/>
  <c r="F54" i="4"/>
  <c r="H54" i="4"/>
  <c r="J69" i="4"/>
  <c r="K36" i="4"/>
  <c r="L36" i="4" s="1"/>
  <c r="M36" i="4" s="1"/>
  <c r="N36" i="4" s="1"/>
  <c r="G54" i="4"/>
  <c r="C54" i="4"/>
  <c r="M37" i="4"/>
  <c r="B18" i="4"/>
  <c r="B68" i="4" s="1"/>
  <c r="C18" i="4"/>
  <c r="C68" i="4" s="1"/>
  <c r="D18" i="4"/>
  <c r="D68" i="4" s="1"/>
  <c r="F18" i="4"/>
  <c r="F68" i="4" s="1"/>
  <c r="E18" i="4"/>
  <c r="E68" i="4" s="1"/>
  <c r="G18" i="4"/>
  <c r="G68" i="4" s="1"/>
  <c r="H18" i="4"/>
  <c r="H68" i="4" s="1"/>
  <c r="J16" i="4"/>
  <c r="I18" i="4"/>
  <c r="I68" i="4" s="1"/>
  <c r="I97" i="3"/>
  <c r="T40" i="3" s="1"/>
  <c r="I86" i="3"/>
  <c r="I88" i="3" s="1"/>
  <c r="I188" i="1"/>
  <c r="I189" i="1" s="1"/>
  <c r="I208" i="3"/>
  <c r="I14" i="3" s="1"/>
  <c r="D149" i="3"/>
  <c r="I64" i="3"/>
  <c r="T28" i="3" s="1"/>
  <c r="I53" i="3"/>
  <c r="I55" i="3" s="1"/>
  <c r="E119" i="3"/>
  <c r="E121" i="3" s="1"/>
  <c r="C139" i="3"/>
  <c r="C119" i="3"/>
  <c r="C121" i="3" s="1"/>
  <c r="G110" i="3"/>
  <c r="G86" i="3"/>
  <c r="G88" i="3" s="1"/>
  <c r="G113" i="3"/>
  <c r="G116" i="3"/>
  <c r="J25" i="3"/>
  <c r="J24" i="3" s="1"/>
  <c r="S12" i="3" s="1"/>
  <c r="U12" i="3" s="1"/>
  <c r="E43" i="3"/>
  <c r="I61" i="3"/>
  <c r="I63" i="3" s="1"/>
  <c r="I79" i="3"/>
  <c r="J128" i="3"/>
  <c r="J127" i="3" s="1"/>
  <c r="E148" i="3"/>
  <c r="C175" i="3"/>
  <c r="C17" i="3" s="1"/>
  <c r="F167" i="3"/>
  <c r="B21" i="3"/>
  <c r="B47" i="3" s="1"/>
  <c r="J33" i="3"/>
  <c r="K33" i="3" s="1"/>
  <c r="F74" i="3"/>
  <c r="D142" i="1"/>
  <c r="D149" i="1" s="1"/>
  <c r="D150" i="1" s="1"/>
  <c r="G57" i="3"/>
  <c r="G59" i="3" s="1"/>
  <c r="G74" i="3"/>
  <c r="F68" i="3"/>
  <c r="F70" i="3" s="1"/>
  <c r="D21" i="3"/>
  <c r="D50" i="3" s="1"/>
  <c r="D83" i="3"/>
  <c r="D94" i="3"/>
  <c r="D96" i="3" s="1"/>
  <c r="H119" i="3"/>
  <c r="H121" i="3" s="1"/>
  <c r="J124" i="3"/>
  <c r="J123" i="3" s="1"/>
  <c r="S48" i="3" s="1"/>
  <c r="D143" i="3"/>
  <c r="D161" i="3"/>
  <c r="C207" i="3"/>
  <c r="C142" i="1"/>
  <c r="C149" i="1" s="1"/>
  <c r="C150" i="1" s="1"/>
  <c r="I59" i="1"/>
  <c r="I60" i="1" s="1"/>
  <c r="E142" i="1"/>
  <c r="E149" i="1" s="1"/>
  <c r="E150" i="1" s="1"/>
  <c r="E10" i="1"/>
  <c r="E12" i="1" s="1"/>
  <c r="E20" i="1" s="1"/>
  <c r="F142" i="1"/>
  <c r="F149" i="1" s="1"/>
  <c r="F150" i="1" s="1"/>
  <c r="D43" i="3"/>
  <c r="B101" i="3"/>
  <c r="B102" i="3" s="1"/>
  <c r="E159" i="3"/>
  <c r="E21" i="3"/>
  <c r="E3" i="3" s="1"/>
  <c r="E3" i="4" s="1"/>
  <c r="E30" i="4" s="1"/>
  <c r="E83" i="3"/>
  <c r="E94" i="3"/>
  <c r="E96" i="3" s="1"/>
  <c r="F112" i="3"/>
  <c r="I119" i="3"/>
  <c r="I121" i="3" s="1"/>
  <c r="E161" i="3"/>
  <c r="I159" i="3"/>
  <c r="D178" i="3"/>
  <c r="D197" i="3"/>
  <c r="I206" i="3"/>
  <c r="H21" i="3"/>
  <c r="D28" i="3"/>
  <c r="D30" i="3" s="1"/>
  <c r="H83" i="3"/>
  <c r="H134" i="3"/>
  <c r="H136" i="3" s="1"/>
  <c r="C190" i="3"/>
  <c r="G213" i="3"/>
  <c r="C208" i="3"/>
  <c r="C210" i="3" s="1"/>
  <c r="I28" i="3"/>
  <c r="I30" i="3" s="1"/>
  <c r="F168" i="3"/>
  <c r="I21" i="3"/>
  <c r="I31" i="3" s="1"/>
  <c r="I142" i="3"/>
  <c r="H203" i="3"/>
  <c r="D208" i="3"/>
  <c r="D14" i="3" s="1"/>
  <c r="E208" i="3"/>
  <c r="E14" i="3" s="1"/>
  <c r="F3" i="3"/>
  <c r="F3" i="4" s="1"/>
  <c r="F30" i="4" s="1"/>
  <c r="G21" i="3"/>
  <c r="G40" i="3" s="1"/>
  <c r="G82" i="3"/>
  <c r="G94" i="3"/>
  <c r="G96" i="3" s="1"/>
  <c r="C106" i="3"/>
  <c r="B10" i="1"/>
  <c r="B12" i="1" s="1"/>
  <c r="B20" i="1" s="1"/>
  <c r="F125" i="3"/>
  <c r="B116" i="3"/>
  <c r="B172" i="3"/>
  <c r="B171" i="3" s="1"/>
  <c r="B184" i="3"/>
  <c r="F208" i="3"/>
  <c r="F14" i="3" s="1"/>
  <c r="C10" i="1"/>
  <c r="C12" i="1" s="1"/>
  <c r="C64" i="1" s="1"/>
  <c r="C76" i="1" s="1"/>
  <c r="C96" i="1" s="1"/>
  <c r="C98" i="1" s="1"/>
  <c r="C99" i="1" s="1"/>
  <c r="G28" i="3"/>
  <c r="G30" i="3" s="1"/>
  <c r="G77" i="3"/>
  <c r="G106" i="3"/>
  <c r="C116" i="3"/>
  <c r="H145" i="3"/>
  <c r="H28" i="3"/>
  <c r="H30" i="3" s="1"/>
  <c r="J66" i="3"/>
  <c r="J65" i="3" s="1"/>
  <c r="S28" i="3" s="1"/>
  <c r="H76" i="3"/>
  <c r="C185" i="3"/>
  <c r="H190" i="3"/>
  <c r="C204" i="3"/>
  <c r="G208" i="3"/>
  <c r="G210" i="3" s="1"/>
  <c r="B106" i="3"/>
  <c r="T34" i="3"/>
  <c r="D184" i="3"/>
  <c r="I190" i="3"/>
  <c r="H208" i="3"/>
  <c r="H210" i="3" s="1"/>
  <c r="D109" i="3"/>
  <c r="C8" i="3"/>
  <c r="B86" i="3"/>
  <c r="B88" i="3" s="1"/>
  <c r="C86" i="3"/>
  <c r="C88" i="3" s="1"/>
  <c r="B60" i="1"/>
  <c r="D110" i="3"/>
  <c r="E139" i="3"/>
  <c r="B63" i="4"/>
  <c r="B64" i="4" s="1"/>
  <c r="B65" i="4" s="1"/>
  <c r="F61" i="3"/>
  <c r="F63" i="3" s="1"/>
  <c r="F139" i="3"/>
  <c r="F153" i="3"/>
  <c r="I184" i="3"/>
  <c r="I202" i="3"/>
  <c r="E213" i="3"/>
  <c r="I41" i="3"/>
  <c r="E49" i="3"/>
  <c r="I127" i="3"/>
  <c r="I129" i="3" s="1"/>
  <c r="I146" i="3"/>
  <c r="E153" i="3"/>
  <c r="E155" i="3" s="1"/>
  <c r="D194" i="3"/>
  <c r="C59" i="1"/>
  <c r="C60" i="1" s="1"/>
  <c r="E41" i="3"/>
  <c r="D59" i="1"/>
  <c r="D60" i="1" s="1"/>
  <c r="C112" i="3"/>
  <c r="I55" i="4"/>
  <c r="H63" i="4"/>
  <c r="H64" i="4" s="1"/>
  <c r="H65" i="4" s="1"/>
  <c r="H57" i="4"/>
  <c r="I57" i="4"/>
  <c r="D11" i="4"/>
  <c r="H55" i="4"/>
  <c r="E11" i="4"/>
  <c r="F11" i="4"/>
  <c r="D63" i="4"/>
  <c r="D64" i="4" s="1"/>
  <c r="D65" i="4" s="1"/>
  <c r="D57" i="4"/>
  <c r="C63" i="4"/>
  <c r="C64" i="4" s="1"/>
  <c r="C65" i="4" s="1"/>
  <c r="C57" i="4"/>
  <c r="K42" i="4"/>
  <c r="L42" i="4" s="1"/>
  <c r="M42" i="4" s="1"/>
  <c r="N42" i="4" s="1"/>
  <c r="E63" i="4"/>
  <c r="E64" i="4" s="1"/>
  <c r="E65" i="4" s="1"/>
  <c r="E57" i="4"/>
  <c r="F63" i="4"/>
  <c r="F64" i="4" s="1"/>
  <c r="F65" i="4" s="1"/>
  <c r="F57" i="4"/>
  <c r="G63" i="4"/>
  <c r="G64" i="4" s="1"/>
  <c r="G65" i="4" s="1"/>
  <c r="G57" i="4"/>
  <c r="J78" i="4"/>
  <c r="C11" i="4"/>
  <c r="G11" i="4"/>
  <c r="C34" i="4"/>
  <c r="D34" i="4"/>
  <c r="H11" i="4"/>
  <c r="D41" i="4"/>
  <c r="B34" i="4"/>
  <c r="F34" i="4"/>
  <c r="F41" i="4"/>
  <c r="E41" i="4"/>
  <c r="H41" i="4"/>
  <c r="E34" i="4"/>
  <c r="D55" i="4"/>
  <c r="G34" i="4"/>
  <c r="C41" i="4"/>
  <c r="H34" i="4"/>
  <c r="G55" i="4"/>
  <c r="G41" i="4"/>
  <c r="B78" i="4"/>
  <c r="C78" i="4"/>
  <c r="D78" i="4"/>
  <c r="E78" i="4"/>
  <c r="F78" i="4"/>
  <c r="B67" i="4"/>
  <c r="E55" i="4"/>
  <c r="D67" i="4"/>
  <c r="B55" i="4"/>
  <c r="B57" i="4" s="1"/>
  <c r="C55" i="4"/>
  <c r="H78" i="4"/>
  <c r="C67" i="4"/>
  <c r="F55" i="4"/>
  <c r="E67" i="4"/>
  <c r="G78" i="4"/>
  <c r="I78" i="4"/>
  <c r="C155" i="3"/>
  <c r="G68" i="3"/>
  <c r="G70" i="3" s="1"/>
  <c r="F80" i="3"/>
  <c r="B188" i="3"/>
  <c r="C134" i="3"/>
  <c r="C161" i="3"/>
  <c r="T26" i="3"/>
  <c r="B63" i="3"/>
  <c r="B153" i="3"/>
  <c r="B154" i="3" s="1"/>
  <c r="I110" i="3"/>
  <c r="T50" i="3"/>
  <c r="G168" i="3"/>
  <c r="G149" i="3"/>
  <c r="T46" i="3"/>
  <c r="E188" i="3"/>
  <c r="G17" i="3"/>
  <c r="F72" i="3"/>
  <c r="H17" i="3"/>
  <c r="G72" i="3"/>
  <c r="C143" i="3"/>
  <c r="I17" i="3"/>
  <c r="F50" i="3"/>
  <c r="T72" i="3"/>
  <c r="B161" i="3"/>
  <c r="I49" i="3"/>
  <c r="C127" i="3"/>
  <c r="C129" i="3" s="1"/>
  <c r="E138" i="3"/>
  <c r="B183" i="3"/>
  <c r="D193" i="3"/>
  <c r="E203" i="3"/>
  <c r="G206" i="3"/>
  <c r="E97" i="3"/>
  <c r="G35" i="3"/>
  <c r="G26" i="3"/>
  <c r="F64" i="3"/>
  <c r="F65" i="3" s="1"/>
  <c r="F67" i="3" s="1"/>
  <c r="B76" i="3"/>
  <c r="E113" i="3"/>
  <c r="G146" i="3"/>
  <c r="E167" i="3"/>
  <c r="G80" i="3"/>
  <c r="E178" i="3"/>
  <c r="I179" i="3"/>
  <c r="I181" i="3" s="1"/>
  <c r="G119" i="3"/>
  <c r="G121" i="3" s="1"/>
  <c r="I145" i="3"/>
  <c r="F77" i="3"/>
  <c r="C184" i="3"/>
  <c r="H43" i="3"/>
  <c r="D207" i="3"/>
  <c r="B68" i="3"/>
  <c r="B70" i="3" s="1"/>
  <c r="F67" i="4"/>
  <c r="G67" i="4"/>
  <c r="H67" i="4"/>
  <c r="I67" i="4"/>
  <c r="B41" i="4"/>
  <c r="H72" i="3"/>
  <c r="H73" i="3"/>
  <c r="H74" i="3"/>
  <c r="T70" i="3"/>
  <c r="U70" i="3" s="1"/>
  <c r="B164" i="3"/>
  <c r="B165" i="3"/>
  <c r="J196" i="3"/>
  <c r="D46" i="3"/>
  <c r="C164" i="3"/>
  <c r="C165" i="3"/>
  <c r="H167" i="3"/>
  <c r="H168" i="3"/>
  <c r="D165" i="3"/>
  <c r="E164" i="3"/>
  <c r="D164" i="3"/>
  <c r="I168" i="3"/>
  <c r="I167" i="3"/>
  <c r="B94" i="3"/>
  <c r="B96" i="3" s="1"/>
  <c r="K132" i="3"/>
  <c r="J131" i="3"/>
  <c r="S52" i="3" s="1"/>
  <c r="I197" i="3"/>
  <c r="I77" i="3"/>
  <c r="D190" i="3"/>
  <c r="D191" i="3"/>
  <c r="D113" i="3"/>
  <c r="D97" i="3"/>
  <c r="D116" i="3"/>
  <c r="I115" i="3"/>
  <c r="I116" i="3"/>
  <c r="C168" i="3"/>
  <c r="C158" i="3"/>
  <c r="C162" i="3"/>
  <c r="E191" i="3"/>
  <c r="F190" i="3"/>
  <c r="E190" i="3"/>
  <c r="E61" i="3"/>
  <c r="E63" i="3" s="1"/>
  <c r="K95" i="3"/>
  <c r="J94" i="3"/>
  <c r="D162" i="3"/>
  <c r="E152" i="3"/>
  <c r="D168" i="3"/>
  <c r="D152" i="3"/>
  <c r="B17" i="3"/>
  <c r="C68" i="3"/>
  <c r="C77" i="3"/>
  <c r="C76" i="3"/>
  <c r="G191" i="3"/>
  <c r="I207" i="3"/>
  <c r="D213" i="3"/>
  <c r="D212" i="3"/>
  <c r="C50" i="3"/>
  <c r="D49" i="3"/>
  <c r="C49" i="3"/>
  <c r="C41" i="3"/>
  <c r="B83" i="3"/>
  <c r="B64" i="3"/>
  <c r="B65" i="3" s="1"/>
  <c r="B67" i="3" s="1"/>
  <c r="B80" i="3"/>
  <c r="B53" i="3"/>
  <c r="B55" i="3" s="1"/>
  <c r="G61" i="3"/>
  <c r="G63" i="3" s="1"/>
  <c r="I82" i="3"/>
  <c r="I83" i="3"/>
  <c r="C90" i="3"/>
  <c r="C92" i="3" s="1"/>
  <c r="C97" i="3"/>
  <c r="F162" i="3"/>
  <c r="F161" i="3"/>
  <c r="H191" i="3"/>
  <c r="I203" i="3"/>
  <c r="H105" i="3"/>
  <c r="H107" i="3"/>
  <c r="H106" i="3"/>
  <c r="C47" i="3"/>
  <c r="C14" i="3"/>
  <c r="I72" i="3"/>
  <c r="I107" i="3"/>
  <c r="I106" i="3"/>
  <c r="G159" i="3"/>
  <c r="G153" i="3"/>
  <c r="G158" i="3"/>
  <c r="G157" i="3"/>
  <c r="I138" i="3"/>
  <c r="I139" i="3"/>
  <c r="I140" i="3"/>
  <c r="H159" i="3"/>
  <c r="H153" i="3"/>
  <c r="H158" i="3"/>
  <c r="H157" i="3"/>
  <c r="I39" i="3"/>
  <c r="E46" i="3"/>
  <c r="I105" i="3"/>
  <c r="F149" i="3"/>
  <c r="F148" i="3"/>
  <c r="I158" i="3"/>
  <c r="I153" i="3"/>
  <c r="I157" i="3"/>
  <c r="E185" i="3"/>
  <c r="E184" i="3"/>
  <c r="F47" i="3"/>
  <c r="F46" i="3"/>
  <c r="J57" i="3"/>
  <c r="E142" i="3"/>
  <c r="E143" i="3"/>
  <c r="E134" i="3"/>
  <c r="G188" i="3"/>
  <c r="G187" i="3"/>
  <c r="F134" i="3"/>
  <c r="F143" i="3"/>
  <c r="H149" i="3"/>
  <c r="H148" i="3"/>
  <c r="H140" i="3"/>
  <c r="H188" i="3"/>
  <c r="H179" i="3"/>
  <c r="H187" i="3"/>
  <c r="D203" i="3"/>
  <c r="D198" i="3"/>
  <c r="D204" i="3"/>
  <c r="B207" i="3"/>
  <c r="B206" i="3"/>
  <c r="B198" i="3"/>
  <c r="I24" i="3"/>
  <c r="I26" i="3" s="1"/>
  <c r="H24" i="3"/>
  <c r="H26" i="3" s="1"/>
  <c r="F44" i="3"/>
  <c r="G43" i="3"/>
  <c r="F43" i="3"/>
  <c r="F35" i="3"/>
  <c r="B130" i="3"/>
  <c r="B131" i="3" s="1"/>
  <c r="B133" i="3" s="1"/>
  <c r="B119" i="3"/>
  <c r="B121" i="3" s="1"/>
  <c r="B149" i="3"/>
  <c r="G142" i="3"/>
  <c r="G143" i="3"/>
  <c r="H142" i="3"/>
  <c r="G134" i="3"/>
  <c r="I149" i="3"/>
  <c r="G161" i="3"/>
  <c r="F178" i="3"/>
  <c r="F191" i="3"/>
  <c r="C193" i="3"/>
  <c r="B194" i="3"/>
  <c r="H8" i="3"/>
  <c r="B36" i="3"/>
  <c r="H161" i="3"/>
  <c r="G184" i="3"/>
  <c r="G178" i="3"/>
  <c r="I8" i="3"/>
  <c r="B26" i="3"/>
  <c r="H35" i="3"/>
  <c r="B59" i="3"/>
  <c r="I161" i="3"/>
  <c r="H178" i="3"/>
  <c r="I178" i="3"/>
  <c r="F17" i="3"/>
  <c r="C28" i="3"/>
  <c r="C30" i="3" s="1"/>
  <c r="I43" i="3"/>
  <c r="I35" i="3"/>
  <c r="T18" i="3"/>
  <c r="B49" i="3"/>
  <c r="E146" i="3"/>
  <c r="E149" i="3"/>
  <c r="E130" i="3"/>
  <c r="I148" i="3"/>
  <c r="E183" i="3"/>
  <c r="H207" i="3"/>
  <c r="H197" i="3"/>
  <c r="G46" i="3"/>
  <c r="C53" i="3"/>
  <c r="C55" i="3" s="1"/>
  <c r="I80" i="3"/>
  <c r="C82" i="3"/>
  <c r="C83" i="3"/>
  <c r="D90" i="3"/>
  <c r="D92" i="3" s="1"/>
  <c r="I112" i="3"/>
  <c r="C115" i="3"/>
  <c r="D123" i="3"/>
  <c r="D125" i="3" s="1"/>
  <c r="F194" i="3"/>
  <c r="B197" i="3"/>
  <c r="B203" i="3"/>
  <c r="H46" i="3"/>
  <c r="F49" i="3"/>
  <c r="D53" i="3"/>
  <c r="D55" i="3" s="1"/>
  <c r="D82" i="3"/>
  <c r="D17" i="3"/>
  <c r="E82" i="3"/>
  <c r="G194" i="3"/>
  <c r="F31" i="3"/>
  <c r="F28" i="3"/>
  <c r="F30" i="3" s="1"/>
  <c r="G49" i="3"/>
  <c r="H109" i="3"/>
  <c r="F115" i="3"/>
  <c r="E115" i="3"/>
  <c r="E116" i="3"/>
  <c r="D129" i="3"/>
  <c r="H194" i="3"/>
  <c r="H193" i="3"/>
  <c r="I193" i="3"/>
  <c r="G202" i="3"/>
  <c r="G198" i="3"/>
  <c r="F204" i="3"/>
  <c r="H213" i="3"/>
  <c r="H212" i="3"/>
  <c r="C35" i="3"/>
  <c r="C44" i="3"/>
  <c r="T43" i="3"/>
  <c r="I109" i="3"/>
  <c r="G123" i="3"/>
  <c r="G125" i="3" s="1"/>
  <c r="G130" i="3"/>
  <c r="H152" i="3"/>
  <c r="I152" i="3"/>
  <c r="H165" i="3"/>
  <c r="I162" i="3"/>
  <c r="G204" i="3"/>
  <c r="I213" i="3"/>
  <c r="I212" i="3"/>
  <c r="D8" i="3"/>
  <c r="F8" i="3"/>
  <c r="F40" i="3"/>
  <c r="H57" i="3"/>
  <c r="H59" i="3" s="1"/>
  <c r="G83" i="3"/>
  <c r="F97" i="3"/>
  <c r="B105" i="3"/>
  <c r="I143" i="3"/>
  <c r="B181" i="3"/>
  <c r="H204" i="3"/>
  <c r="E8" i="3"/>
  <c r="E17" i="3"/>
  <c r="G39" i="3"/>
  <c r="G8" i="3"/>
  <c r="H80" i="3"/>
  <c r="H64" i="3"/>
  <c r="T60" i="3"/>
  <c r="U60" i="3" s="1"/>
  <c r="I90" i="3"/>
  <c r="I92" i="3" s="1"/>
  <c r="G97" i="3"/>
  <c r="H115" i="3"/>
  <c r="H116" i="3"/>
  <c r="T48" i="3"/>
  <c r="I130" i="3"/>
  <c r="D134" i="3"/>
  <c r="B185" i="3"/>
  <c r="I204" i="3"/>
  <c r="E28" i="3"/>
  <c r="E30" i="3" s="1"/>
  <c r="J29" i="3"/>
  <c r="F92" i="3"/>
  <c r="D145" i="3"/>
  <c r="D146" i="3"/>
  <c r="B168" i="3"/>
  <c r="B167" i="3"/>
  <c r="T22" i="3"/>
  <c r="I46" i="3"/>
  <c r="E57" i="3"/>
  <c r="E59" i="3" s="1"/>
  <c r="I185" i="3"/>
  <c r="I183" i="3"/>
  <c r="F206" i="3"/>
  <c r="F207" i="3"/>
  <c r="H49" i="3"/>
  <c r="E53" i="3"/>
  <c r="E55" i="3" s="1"/>
  <c r="F57" i="3"/>
  <c r="F59" i="3" s="1"/>
  <c r="C64" i="3"/>
  <c r="B74" i="3"/>
  <c r="B73" i="3"/>
  <c r="H143" i="3"/>
  <c r="H130" i="3"/>
  <c r="H139" i="3"/>
  <c r="C197" i="3"/>
  <c r="C203" i="3"/>
  <c r="H206" i="3"/>
  <c r="G207" i="3"/>
  <c r="C213" i="3"/>
  <c r="D64" i="3"/>
  <c r="C74" i="3"/>
  <c r="C73" i="3"/>
  <c r="C80" i="3"/>
  <c r="H86" i="3"/>
  <c r="H88" i="3" s="1"/>
  <c r="H97" i="3"/>
  <c r="H101" i="3"/>
  <c r="C105" i="3"/>
  <c r="C101" i="3"/>
  <c r="B112" i="3"/>
  <c r="B113" i="3"/>
  <c r="D139" i="3"/>
  <c r="D138" i="3"/>
  <c r="C178" i="3"/>
  <c r="C191" i="3"/>
  <c r="C179" i="3"/>
  <c r="C188" i="3"/>
  <c r="I191" i="3"/>
  <c r="C194" i="3"/>
  <c r="D39" i="3"/>
  <c r="F41" i="3"/>
  <c r="G53" i="3"/>
  <c r="G55" i="3" s="1"/>
  <c r="D73" i="3"/>
  <c r="D74" i="3"/>
  <c r="D72" i="3"/>
  <c r="G73" i="3"/>
  <c r="H68" i="3"/>
  <c r="H82" i="3"/>
  <c r="I94" i="3"/>
  <c r="I96" i="3" s="1"/>
  <c r="H94" i="3"/>
  <c r="H96" i="3" s="1"/>
  <c r="I101" i="3"/>
  <c r="D107" i="3"/>
  <c r="D106" i="3"/>
  <c r="D105" i="3"/>
  <c r="D157" i="3"/>
  <c r="D158" i="3"/>
  <c r="D159" i="3"/>
  <c r="C183" i="3"/>
  <c r="D187" i="3"/>
  <c r="D188" i="3"/>
  <c r="D179" i="3"/>
  <c r="F203" i="3"/>
  <c r="T3" i="3"/>
  <c r="E39" i="3"/>
  <c r="G41" i="3"/>
  <c r="C43" i="3"/>
  <c r="H53" i="3"/>
  <c r="H55" i="3" s="1"/>
  <c r="E72" i="3"/>
  <c r="E73" i="3"/>
  <c r="D80" i="3"/>
  <c r="D79" i="3"/>
  <c r="J99" i="3"/>
  <c r="D112" i="3"/>
  <c r="E112" i="3"/>
  <c r="D142" i="3"/>
  <c r="E187" i="3"/>
  <c r="G203" i="3"/>
  <c r="D77" i="3"/>
  <c r="D68" i="3"/>
  <c r="E86" i="3"/>
  <c r="E88" i="3" s="1"/>
  <c r="E106" i="3"/>
  <c r="E107" i="3"/>
  <c r="F105" i="3"/>
  <c r="E101" i="3"/>
  <c r="E110" i="3"/>
  <c r="F119" i="3"/>
  <c r="F121" i="3" s="1"/>
  <c r="C145" i="3"/>
  <c r="B146" i="3"/>
  <c r="E162" i="3"/>
  <c r="I198" i="3"/>
  <c r="F73" i="3"/>
  <c r="E76" i="3"/>
  <c r="E68" i="3"/>
  <c r="E79" i="3"/>
  <c r="F86" i="3"/>
  <c r="F88" i="3" s="1"/>
  <c r="F110" i="3"/>
  <c r="D148" i="3"/>
  <c r="B159" i="3"/>
  <c r="B158" i="3"/>
  <c r="C206" i="3"/>
  <c r="F184" i="3"/>
  <c r="I187" i="3"/>
  <c r="I188" i="3"/>
  <c r="J62" i="3"/>
  <c r="F130" i="3"/>
  <c r="B143" i="3"/>
  <c r="F152" i="3"/>
  <c r="F164" i="3"/>
  <c r="F165" i="3"/>
  <c r="C39" i="3"/>
  <c r="C40" i="3"/>
  <c r="I57" i="3"/>
  <c r="I59" i="3" s="1"/>
  <c r="D76" i="3"/>
  <c r="F116" i="3"/>
  <c r="F106" i="3"/>
  <c r="E105" i="3"/>
  <c r="E109" i="3"/>
  <c r="F113" i="3"/>
  <c r="G164" i="3"/>
  <c r="G165" i="3"/>
  <c r="H184" i="3"/>
  <c r="H183" i="3"/>
  <c r="H185" i="3"/>
  <c r="E206" i="3"/>
  <c r="E198" i="3"/>
  <c r="B139" i="3"/>
  <c r="B213" i="3"/>
  <c r="H61" i="3"/>
  <c r="H63" i="3" s="1"/>
  <c r="G79" i="3"/>
  <c r="F145" i="3"/>
  <c r="F188" i="3"/>
  <c r="F179" i="3"/>
  <c r="C57" i="3"/>
  <c r="C59" i="3" s="1"/>
  <c r="I73" i="3"/>
  <c r="I74" i="3"/>
  <c r="I113" i="3"/>
  <c r="C130" i="3"/>
  <c r="B191" i="3"/>
  <c r="I194" i="3"/>
  <c r="B41" i="3"/>
  <c r="E35" i="3"/>
  <c r="H79" i="3"/>
  <c r="B97" i="3"/>
  <c r="B98" i="3" s="1"/>
  <c r="B100" i="3" s="1"/>
  <c r="G107" i="3"/>
  <c r="C149" i="3"/>
  <c r="E157" i="3"/>
  <c r="C202" i="3"/>
  <c r="G76" i="3"/>
  <c r="C146" i="3"/>
  <c r="G148" i="3"/>
  <c r="I165" i="3"/>
  <c r="F83" i="3"/>
  <c r="J91" i="3"/>
  <c r="D119" i="3"/>
  <c r="D121" i="3" s="1"/>
  <c r="I134" i="3"/>
  <c r="C157" i="3"/>
  <c r="C167" i="3"/>
  <c r="B187" i="1"/>
  <c r="B208" i="3" s="1"/>
  <c r="B209" i="3" s="1"/>
  <c r="D64" i="1"/>
  <c r="D76" i="1" s="1"/>
  <c r="D96" i="1" s="1"/>
  <c r="D98" i="1" s="1"/>
  <c r="D99" i="1" s="1"/>
  <c r="D20" i="1"/>
  <c r="C20" i="1"/>
  <c r="H20" i="1"/>
  <c r="J67" i="4" l="1"/>
  <c r="B22" i="3"/>
  <c r="B31" i="3"/>
  <c r="B32" i="3" s="1"/>
  <c r="B34" i="3" s="1"/>
  <c r="D165" i="1"/>
  <c r="F22" i="3"/>
  <c r="H22" i="3"/>
  <c r="H18" i="3"/>
  <c r="B37" i="3"/>
  <c r="J32" i="3"/>
  <c r="S16" i="3" s="1"/>
  <c r="K28" i="4"/>
  <c r="K63" i="4" s="1"/>
  <c r="D154" i="3"/>
  <c r="E154" i="3"/>
  <c r="B136" i="3"/>
  <c r="D22" i="3"/>
  <c r="D44" i="3"/>
  <c r="C135" i="3"/>
  <c r="B3" i="3"/>
  <c r="B4" i="3" s="1"/>
  <c r="B4" i="4" s="1"/>
  <c r="E131" i="3"/>
  <c r="E133" i="3" s="1"/>
  <c r="G65" i="3"/>
  <c r="G67" i="3" s="1"/>
  <c r="J76" i="3"/>
  <c r="J75" i="3" s="1"/>
  <c r="G20" i="1"/>
  <c r="H165" i="1"/>
  <c r="F20" i="1"/>
  <c r="F154" i="3"/>
  <c r="I47" i="3"/>
  <c r="B44" i="3"/>
  <c r="B64" i="1"/>
  <c r="B76" i="1" s="1"/>
  <c r="B96" i="1" s="1"/>
  <c r="B98" i="1" s="1"/>
  <c r="B99" i="1" s="1"/>
  <c r="B103" i="3"/>
  <c r="C22" i="3"/>
  <c r="I210" i="3"/>
  <c r="F210" i="3"/>
  <c r="C165" i="1"/>
  <c r="H209" i="3"/>
  <c r="G47" i="3"/>
  <c r="H135" i="3"/>
  <c r="F4" i="3"/>
  <c r="F4" i="4" s="1"/>
  <c r="J161" i="3"/>
  <c r="K161" i="3" s="1"/>
  <c r="L161" i="3" s="1"/>
  <c r="M161" i="3" s="1"/>
  <c r="N161" i="3" s="1"/>
  <c r="F165" i="1"/>
  <c r="I18" i="3"/>
  <c r="G102" i="3"/>
  <c r="I209" i="3"/>
  <c r="H14" i="3"/>
  <c r="B50" i="3"/>
  <c r="B40" i="3"/>
  <c r="S50" i="3"/>
  <c r="U50" i="3" s="1"/>
  <c r="J126" i="3"/>
  <c r="S49" i="3" s="1"/>
  <c r="U49" i="3" s="1"/>
  <c r="D65" i="3"/>
  <c r="D67" i="3" s="1"/>
  <c r="H50" i="3"/>
  <c r="B155" i="3"/>
  <c r="H31" i="3"/>
  <c r="I32" i="3" s="1"/>
  <c r="I34" i="3" s="1"/>
  <c r="F199" i="3"/>
  <c r="K124" i="3"/>
  <c r="K123" i="3" s="1"/>
  <c r="H47" i="3"/>
  <c r="H44" i="3"/>
  <c r="C136" i="3"/>
  <c r="G103" i="3"/>
  <c r="I64" i="1"/>
  <c r="I76" i="1" s="1"/>
  <c r="I96" i="1" s="1"/>
  <c r="F98" i="3"/>
  <c r="F100" i="3" s="1"/>
  <c r="F155" i="3"/>
  <c r="I165" i="1"/>
  <c r="E44" i="3"/>
  <c r="E98" i="3"/>
  <c r="E100" i="3" s="1"/>
  <c r="G44" i="3"/>
  <c r="H40" i="3"/>
  <c r="J167" i="3"/>
  <c r="K167" i="3" s="1"/>
  <c r="L167" i="3" s="1"/>
  <c r="M167" i="3" s="1"/>
  <c r="N167" i="3" s="1"/>
  <c r="K66" i="3"/>
  <c r="E47" i="3"/>
  <c r="G14" i="3"/>
  <c r="G15" i="3" s="1"/>
  <c r="J202" i="3"/>
  <c r="K202" i="3" s="1"/>
  <c r="L202" i="3" s="1"/>
  <c r="M202" i="3" s="1"/>
  <c r="N202" i="3" s="1"/>
  <c r="G37" i="3"/>
  <c r="B165" i="1"/>
  <c r="E31" i="3"/>
  <c r="F32" i="3" s="1"/>
  <c r="F34" i="3" s="1"/>
  <c r="G22" i="3"/>
  <c r="H65" i="3"/>
  <c r="H67" i="3" s="1"/>
  <c r="H3" i="3"/>
  <c r="H19" i="3" s="1"/>
  <c r="B69" i="3"/>
  <c r="J64" i="3"/>
  <c r="S27" i="3" s="1"/>
  <c r="U27" i="3" s="1"/>
  <c r="G209" i="3"/>
  <c r="I98" i="3"/>
  <c r="I100" i="3" s="1"/>
  <c r="E40" i="3"/>
  <c r="U28" i="3"/>
  <c r="E64" i="1"/>
  <c r="E76" i="1" s="1"/>
  <c r="E96" i="1" s="1"/>
  <c r="E98" i="1" s="1"/>
  <c r="E99" i="1" s="1"/>
  <c r="K128" i="3"/>
  <c r="K127" i="3" s="1"/>
  <c r="G180" i="3"/>
  <c r="B8" i="3"/>
  <c r="C9" i="3" s="1"/>
  <c r="J54" i="4"/>
  <c r="J53" i="4" s="1"/>
  <c r="N37" i="4"/>
  <c r="F51" i="4"/>
  <c r="K16" i="4"/>
  <c r="E51" i="4"/>
  <c r="F25" i="4"/>
  <c r="D40" i="3"/>
  <c r="K25" i="3"/>
  <c r="K24" i="3" s="1"/>
  <c r="C49" i="4"/>
  <c r="C6" i="4"/>
  <c r="I22" i="3"/>
  <c r="I44" i="3"/>
  <c r="F209" i="3"/>
  <c r="D209" i="3"/>
  <c r="F6" i="4"/>
  <c r="F49" i="4"/>
  <c r="E22" i="3"/>
  <c r="E209" i="3"/>
  <c r="D210" i="3"/>
  <c r="I6" i="4"/>
  <c r="I49" i="4"/>
  <c r="J142" i="3"/>
  <c r="J141" i="3" s="1"/>
  <c r="D3" i="3"/>
  <c r="D3" i="4" s="1"/>
  <c r="D51" i="4" s="1"/>
  <c r="E50" i="3"/>
  <c r="D6" i="4"/>
  <c r="D49" i="4"/>
  <c r="B210" i="3"/>
  <c r="C10" i="3"/>
  <c r="C3" i="4"/>
  <c r="C51" i="4" s="1"/>
  <c r="D15" i="3"/>
  <c r="I3" i="3"/>
  <c r="I3" i="4" s="1"/>
  <c r="I40" i="3"/>
  <c r="E165" i="1"/>
  <c r="D37" i="3"/>
  <c r="G6" i="4"/>
  <c r="G49" i="4"/>
  <c r="J112" i="3"/>
  <c r="K112" i="3" s="1"/>
  <c r="L112" i="3" s="1"/>
  <c r="M112" i="3" s="1"/>
  <c r="N112" i="3" s="1"/>
  <c r="D31" i="3"/>
  <c r="D32" i="3" s="1"/>
  <c r="D34" i="3" s="1"/>
  <c r="B188" i="1"/>
  <c r="B189" i="1" s="1"/>
  <c r="I65" i="3"/>
  <c r="I67" i="3" s="1"/>
  <c r="E25" i="4"/>
  <c r="E6" i="4"/>
  <c r="E49" i="4"/>
  <c r="H6" i="4"/>
  <c r="H49" i="4"/>
  <c r="J79" i="3"/>
  <c r="K79" i="3" s="1"/>
  <c r="L79" i="3" s="1"/>
  <c r="M79" i="3" s="1"/>
  <c r="N79" i="3" s="1"/>
  <c r="B14" i="3"/>
  <c r="E210" i="3"/>
  <c r="G50" i="3"/>
  <c r="G3" i="3"/>
  <c r="G10" i="3" s="1"/>
  <c r="G31" i="3"/>
  <c r="I50" i="3"/>
  <c r="C209" i="3"/>
  <c r="J109" i="3"/>
  <c r="J108" i="3" s="1"/>
  <c r="G69" i="3"/>
  <c r="D47" i="3"/>
  <c r="T10" i="3"/>
  <c r="J11" i="4"/>
  <c r="D45" i="4"/>
  <c r="K78" i="4"/>
  <c r="H45" i="4"/>
  <c r="C45" i="4"/>
  <c r="F45" i="4"/>
  <c r="E45" i="4"/>
  <c r="B45" i="4"/>
  <c r="G45" i="4"/>
  <c r="U48" i="3"/>
  <c r="B5" i="3"/>
  <c r="J148" i="3"/>
  <c r="K148" i="3" s="1"/>
  <c r="L148" i="3" s="1"/>
  <c r="M148" i="3" s="1"/>
  <c r="N148" i="3" s="1"/>
  <c r="J72" i="3"/>
  <c r="K72" i="3" s="1"/>
  <c r="L72" i="3" s="1"/>
  <c r="M72" i="3" s="1"/>
  <c r="N72" i="3" s="1"/>
  <c r="G36" i="3"/>
  <c r="J193" i="3"/>
  <c r="J152" i="3"/>
  <c r="K152" i="3" s="1"/>
  <c r="L152" i="3" s="1"/>
  <c r="M152" i="3" s="1"/>
  <c r="N152" i="3" s="1"/>
  <c r="J46" i="3"/>
  <c r="K46" i="3" s="1"/>
  <c r="L46" i="3" s="1"/>
  <c r="M46" i="3" s="1"/>
  <c r="N46" i="3" s="1"/>
  <c r="J190" i="3"/>
  <c r="K190" i="3" s="1"/>
  <c r="L190" i="3" s="1"/>
  <c r="M190" i="3" s="1"/>
  <c r="N190" i="3" s="1"/>
  <c r="C154" i="3"/>
  <c r="F131" i="3"/>
  <c r="F133" i="3" s="1"/>
  <c r="I155" i="3"/>
  <c r="I154" i="3"/>
  <c r="J98" i="3"/>
  <c r="K99" i="3"/>
  <c r="D199" i="3"/>
  <c r="D200" i="3"/>
  <c r="J56" i="3"/>
  <c r="S24" i="3"/>
  <c r="U24" i="3" s="1"/>
  <c r="B18" i="3"/>
  <c r="D70" i="3"/>
  <c r="D69" i="3"/>
  <c r="D5" i="3"/>
  <c r="D5" i="4" s="1"/>
  <c r="D9" i="3"/>
  <c r="K65" i="3"/>
  <c r="L66" i="3"/>
  <c r="J39" i="3"/>
  <c r="H69" i="3"/>
  <c r="H70" i="3"/>
  <c r="J212" i="3"/>
  <c r="J82" i="3"/>
  <c r="F16" i="3"/>
  <c r="F15" i="3"/>
  <c r="K29" i="3"/>
  <c r="J28" i="3"/>
  <c r="D18" i="3"/>
  <c r="F19" i="3"/>
  <c r="F18" i="3"/>
  <c r="H181" i="3"/>
  <c r="H180" i="3"/>
  <c r="I180" i="3"/>
  <c r="E70" i="3"/>
  <c r="F69" i="3"/>
  <c r="E69" i="3"/>
  <c r="G9" i="3"/>
  <c r="G200" i="3"/>
  <c r="G199" i="3"/>
  <c r="D180" i="3"/>
  <c r="D181" i="3"/>
  <c r="C102" i="3"/>
  <c r="C103" i="3"/>
  <c r="J23" i="3"/>
  <c r="J93" i="3"/>
  <c r="S38" i="3"/>
  <c r="U38" i="3" s="1"/>
  <c r="L33" i="3"/>
  <c r="K32" i="3"/>
  <c r="E37" i="3"/>
  <c r="E5" i="3"/>
  <c r="E5" i="4" s="1"/>
  <c r="E36" i="3"/>
  <c r="J105" i="3"/>
  <c r="H131" i="3"/>
  <c r="H133" i="3" s="1"/>
  <c r="D102" i="3"/>
  <c r="H199" i="3"/>
  <c r="H9" i="3"/>
  <c r="H155" i="3"/>
  <c r="H154" i="3"/>
  <c r="C16" i="3"/>
  <c r="C19" i="3"/>
  <c r="C18" i="3"/>
  <c r="K94" i="3"/>
  <c r="L95" i="3"/>
  <c r="E200" i="3"/>
  <c r="E199" i="3"/>
  <c r="J187" i="3"/>
  <c r="H102" i="3"/>
  <c r="H103" i="3"/>
  <c r="E19" i="3"/>
  <c r="E18" i="3"/>
  <c r="J164" i="3"/>
  <c r="C32" i="3"/>
  <c r="C34" i="3" s="1"/>
  <c r="J157" i="3"/>
  <c r="I199" i="3"/>
  <c r="I200" i="3"/>
  <c r="J183" i="3"/>
  <c r="H98" i="3"/>
  <c r="H100" i="3" s="1"/>
  <c r="E9" i="3"/>
  <c r="E10" i="3"/>
  <c r="J49" i="3"/>
  <c r="I136" i="3"/>
  <c r="I135" i="3"/>
  <c r="D136" i="3"/>
  <c r="D135" i="3"/>
  <c r="F37" i="3"/>
  <c r="F5" i="3"/>
  <c r="F5" i="4" s="1"/>
  <c r="F36" i="3"/>
  <c r="G18" i="3"/>
  <c r="T52" i="3"/>
  <c r="U52" i="3" s="1"/>
  <c r="I131" i="3"/>
  <c r="I133" i="3" s="1"/>
  <c r="J130" i="3"/>
  <c r="F135" i="3"/>
  <c r="F136" i="3"/>
  <c r="J90" i="3"/>
  <c r="K91" i="3"/>
  <c r="K131" i="3"/>
  <c r="L132" i="3"/>
  <c r="S69" i="3"/>
  <c r="U69" i="3" s="1"/>
  <c r="K196" i="3"/>
  <c r="J197" i="3"/>
  <c r="C131" i="3"/>
  <c r="C133" i="3" s="1"/>
  <c r="D131" i="3"/>
  <c r="D133" i="3" s="1"/>
  <c r="K62" i="3"/>
  <c r="J61" i="3"/>
  <c r="J122" i="3"/>
  <c r="G131" i="3"/>
  <c r="G133" i="3" s="1"/>
  <c r="J31" i="3"/>
  <c r="T16" i="3"/>
  <c r="U16" i="3" s="1"/>
  <c r="H36" i="3"/>
  <c r="H5" i="3"/>
  <c r="H5" i="4" s="1"/>
  <c r="H37" i="3"/>
  <c r="I69" i="3"/>
  <c r="E65" i="3"/>
  <c r="E67" i="3" s="1"/>
  <c r="G98" i="3"/>
  <c r="G100" i="3" s="1"/>
  <c r="I9" i="3"/>
  <c r="E136" i="3"/>
  <c r="E135" i="3"/>
  <c r="E15" i="3"/>
  <c r="E16" i="3"/>
  <c r="T7" i="3"/>
  <c r="E103" i="3"/>
  <c r="E102" i="3"/>
  <c r="F102" i="3"/>
  <c r="I103" i="3"/>
  <c r="I102" i="3"/>
  <c r="C180" i="3"/>
  <c r="C181" i="3"/>
  <c r="C65" i="3"/>
  <c r="C67" i="3" s="1"/>
  <c r="G135" i="3"/>
  <c r="G136" i="3"/>
  <c r="B200" i="3"/>
  <c r="B199" i="3"/>
  <c r="G5" i="3"/>
  <c r="G5" i="4" s="1"/>
  <c r="J206" i="3"/>
  <c r="J115" i="3"/>
  <c r="G154" i="3"/>
  <c r="G155" i="3"/>
  <c r="C98" i="3"/>
  <c r="C100" i="3" s="1"/>
  <c r="E180" i="3"/>
  <c r="J43" i="3"/>
  <c r="J178" i="3"/>
  <c r="J145" i="3"/>
  <c r="C37" i="3"/>
  <c r="D36" i="3"/>
  <c r="C36" i="3"/>
  <c r="C5" i="3"/>
  <c r="C5" i="4" s="1"/>
  <c r="C199" i="3"/>
  <c r="I36" i="3"/>
  <c r="I5" i="3"/>
  <c r="I5" i="4" s="1"/>
  <c r="I37" i="3"/>
  <c r="C70" i="3"/>
  <c r="C69" i="3"/>
  <c r="F180" i="3"/>
  <c r="F181" i="3"/>
  <c r="J138" i="3"/>
  <c r="F9" i="3"/>
  <c r="F10" i="3"/>
  <c r="K57" i="3"/>
  <c r="L58" i="3"/>
  <c r="D98" i="3"/>
  <c r="D100" i="3" s="1"/>
  <c r="H97" i="1"/>
  <c r="H98" i="1" s="1"/>
  <c r="G99" i="1"/>
  <c r="L28" i="4" l="1"/>
  <c r="L63" i="4" s="1"/>
  <c r="B19" i="3"/>
  <c r="K76" i="3"/>
  <c r="L76" i="3" s="1"/>
  <c r="M76" i="3" s="1"/>
  <c r="N76" i="3" s="1"/>
  <c r="S30" i="3"/>
  <c r="U30" i="3" s="1"/>
  <c r="C4" i="3"/>
  <c r="C4" i="4" s="1"/>
  <c r="J189" i="3"/>
  <c r="H16" i="3"/>
  <c r="J209" i="3"/>
  <c r="D10" i="3"/>
  <c r="J166" i="3"/>
  <c r="K166" i="3" s="1"/>
  <c r="B16" i="3"/>
  <c r="H32" i="3"/>
  <c r="H34" i="3" s="1"/>
  <c r="L25" i="3"/>
  <c r="L24" i="3" s="1"/>
  <c r="K142" i="3"/>
  <c r="L142" i="3" s="1"/>
  <c r="M142" i="3" s="1"/>
  <c r="N142" i="3" s="1"/>
  <c r="S54" i="3"/>
  <c r="U54" i="3" s="1"/>
  <c r="B49" i="4"/>
  <c r="B3" i="4"/>
  <c r="B51" i="4" s="1"/>
  <c r="I15" i="3"/>
  <c r="B6" i="4"/>
  <c r="D16" i="3"/>
  <c r="J111" i="3"/>
  <c r="K111" i="3" s="1"/>
  <c r="H15" i="3"/>
  <c r="J160" i="3"/>
  <c r="K160" i="3" s="1"/>
  <c r="I30" i="4"/>
  <c r="I25" i="4"/>
  <c r="I19" i="3"/>
  <c r="K64" i="3"/>
  <c r="L124" i="3"/>
  <c r="D4" i="3"/>
  <c r="D4" i="4" s="1"/>
  <c r="I10" i="3"/>
  <c r="J201" i="3"/>
  <c r="J203" i="3" s="1"/>
  <c r="D19" i="3"/>
  <c r="K126" i="3"/>
  <c r="I51" i="4"/>
  <c r="L128" i="3"/>
  <c r="M128" i="3" s="1"/>
  <c r="J78" i="3"/>
  <c r="K78" i="3" s="1"/>
  <c r="I4" i="3"/>
  <c r="I4" i="4" s="1"/>
  <c r="I16" i="3"/>
  <c r="C15" i="3"/>
  <c r="B10" i="3"/>
  <c r="B9" i="3"/>
  <c r="E4" i="3"/>
  <c r="E4" i="4" s="1"/>
  <c r="B15" i="3"/>
  <c r="H3" i="4"/>
  <c r="H51" i="4" s="1"/>
  <c r="H4" i="3"/>
  <c r="H4" i="4" s="1"/>
  <c r="H10" i="3"/>
  <c r="K54" i="4"/>
  <c r="L54" i="4" s="1"/>
  <c r="L16" i="4"/>
  <c r="K11" i="4"/>
  <c r="K10" i="4" s="1"/>
  <c r="J10" i="4"/>
  <c r="S42" i="3"/>
  <c r="U42" i="3" s="1"/>
  <c r="B7" i="3"/>
  <c r="B5" i="4"/>
  <c r="G3" i="4"/>
  <c r="G51" i="4" s="1"/>
  <c r="G4" i="3"/>
  <c r="G4" i="4" s="1"/>
  <c r="K109" i="3"/>
  <c r="L109" i="3" s="1"/>
  <c r="M109" i="3" s="1"/>
  <c r="N109" i="3" s="1"/>
  <c r="G19" i="3"/>
  <c r="G32" i="3"/>
  <c r="G34" i="3" s="1"/>
  <c r="C30" i="4"/>
  <c r="C25" i="4"/>
  <c r="J151" i="3"/>
  <c r="J168" i="3" s="1"/>
  <c r="G16" i="3"/>
  <c r="E32" i="3"/>
  <c r="E34" i="3" s="1"/>
  <c r="D30" i="4"/>
  <c r="D25" i="4"/>
  <c r="T4" i="3"/>
  <c r="L78" i="4"/>
  <c r="K34" i="4"/>
  <c r="K69" i="4" s="1"/>
  <c r="J71" i="3"/>
  <c r="J68" i="3" s="1"/>
  <c r="B6" i="3"/>
  <c r="B11" i="3"/>
  <c r="J147" i="3"/>
  <c r="K147" i="3" s="1"/>
  <c r="K193" i="3"/>
  <c r="L193" i="3" s="1"/>
  <c r="M193" i="3" s="1"/>
  <c r="N193" i="3" s="1"/>
  <c r="J192" i="3"/>
  <c r="K192" i="3" s="1"/>
  <c r="L192" i="3" s="1"/>
  <c r="J45" i="3"/>
  <c r="K45" i="3" s="1"/>
  <c r="K157" i="3"/>
  <c r="L157" i="3" s="1"/>
  <c r="M157" i="3" s="1"/>
  <c r="N157" i="3" s="1"/>
  <c r="J156" i="3"/>
  <c r="S26" i="3"/>
  <c r="U26" i="3" s="1"/>
  <c r="J60" i="3"/>
  <c r="L29" i="3"/>
  <c r="K28" i="3"/>
  <c r="J208" i="3"/>
  <c r="K209" i="3"/>
  <c r="L209" i="3" s="1"/>
  <c r="M209" i="3" s="1"/>
  <c r="N209" i="3" s="1"/>
  <c r="L32" i="3"/>
  <c r="M33" i="3"/>
  <c r="K138" i="3"/>
  <c r="L138" i="3" s="1"/>
  <c r="M138" i="3" s="1"/>
  <c r="N138" i="3" s="1"/>
  <c r="J137" i="3"/>
  <c r="J134" i="3" s="1"/>
  <c r="H7" i="3"/>
  <c r="H6" i="3"/>
  <c r="H11" i="3"/>
  <c r="K98" i="3"/>
  <c r="L99" i="3"/>
  <c r="K115" i="3"/>
  <c r="L115" i="3" s="1"/>
  <c r="M115" i="3" s="1"/>
  <c r="N115" i="3" s="1"/>
  <c r="J114" i="3"/>
  <c r="L91" i="3"/>
  <c r="K90" i="3"/>
  <c r="J48" i="3"/>
  <c r="K49" i="3"/>
  <c r="L49" i="3" s="1"/>
  <c r="M49" i="3" s="1"/>
  <c r="N49" i="3" s="1"/>
  <c r="M95" i="3"/>
  <c r="L94" i="3"/>
  <c r="S37" i="3"/>
  <c r="U37" i="3" s="1"/>
  <c r="K93" i="3"/>
  <c r="S18" i="3"/>
  <c r="U18" i="3" s="1"/>
  <c r="J38" i="3"/>
  <c r="K39" i="3"/>
  <c r="L39" i="3" s="1"/>
  <c r="M39" i="3" s="1"/>
  <c r="N39" i="3" s="1"/>
  <c r="S40" i="3"/>
  <c r="U40" i="3" s="1"/>
  <c r="J97" i="3"/>
  <c r="S36" i="3"/>
  <c r="U36" i="3" s="1"/>
  <c r="J89" i="3"/>
  <c r="S72" i="3"/>
  <c r="U72" i="3" s="1"/>
  <c r="K206" i="3"/>
  <c r="L206" i="3" s="1"/>
  <c r="M206" i="3" s="1"/>
  <c r="N206" i="3" s="1"/>
  <c r="J205" i="3"/>
  <c r="K23" i="3"/>
  <c r="S11" i="3"/>
  <c r="L65" i="3"/>
  <c r="M66" i="3"/>
  <c r="S53" i="3"/>
  <c r="U53" i="3" s="1"/>
  <c r="G11" i="3"/>
  <c r="G7" i="3"/>
  <c r="G6" i="3"/>
  <c r="K130" i="3"/>
  <c r="S51" i="3"/>
  <c r="U51" i="3" s="1"/>
  <c r="K183" i="3"/>
  <c r="L183" i="3" s="1"/>
  <c r="M183" i="3" s="1"/>
  <c r="N183" i="3" s="1"/>
  <c r="J182" i="3"/>
  <c r="I6" i="3"/>
  <c r="I11" i="3"/>
  <c r="I7" i="3"/>
  <c r="S15" i="3"/>
  <c r="U15" i="3" s="1"/>
  <c r="K31" i="3"/>
  <c r="D6" i="3"/>
  <c r="D7" i="3"/>
  <c r="D11" i="3"/>
  <c r="M124" i="3"/>
  <c r="L123" i="3"/>
  <c r="C7" i="3"/>
  <c r="C6" i="3"/>
  <c r="C11" i="3"/>
  <c r="K122" i="3"/>
  <c r="J118" i="3"/>
  <c r="J119" i="3" s="1"/>
  <c r="S47" i="3"/>
  <c r="S14" i="3"/>
  <c r="U14" i="3" s="1"/>
  <c r="J27" i="3"/>
  <c r="J21" i="3" s="1"/>
  <c r="S41" i="3"/>
  <c r="U41" i="3" s="1"/>
  <c r="J163" i="3"/>
  <c r="K164" i="3"/>
  <c r="L164" i="3" s="1"/>
  <c r="M164" i="3" s="1"/>
  <c r="N164" i="3" s="1"/>
  <c r="L62" i="3"/>
  <c r="K61" i="3"/>
  <c r="K189" i="3"/>
  <c r="K145" i="3"/>
  <c r="L145" i="3" s="1"/>
  <c r="M145" i="3" s="1"/>
  <c r="N145" i="3" s="1"/>
  <c r="J144" i="3"/>
  <c r="K56" i="3"/>
  <c r="S23" i="3"/>
  <c r="J177" i="3"/>
  <c r="J191" i="3" s="1"/>
  <c r="K178" i="3"/>
  <c r="L178" i="3" s="1"/>
  <c r="M178" i="3" s="1"/>
  <c r="N178" i="3" s="1"/>
  <c r="F11" i="3"/>
  <c r="F6" i="3"/>
  <c r="F7" i="3"/>
  <c r="K105" i="3"/>
  <c r="L105" i="3" s="1"/>
  <c r="M105" i="3" s="1"/>
  <c r="N105" i="3" s="1"/>
  <c r="J104" i="3"/>
  <c r="J101" i="3" s="1"/>
  <c r="L57" i="3"/>
  <c r="M58" i="3"/>
  <c r="K43" i="3"/>
  <c r="L43" i="3" s="1"/>
  <c r="M43" i="3" s="1"/>
  <c r="N43" i="3" s="1"/>
  <c r="J42" i="3"/>
  <c r="S29" i="3"/>
  <c r="U29" i="3" s="1"/>
  <c r="L196" i="3"/>
  <c r="K197" i="3"/>
  <c r="K82" i="3"/>
  <c r="L82" i="3" s="1"/>
  <c r="M82" i="3" s="1"/>
  <c r="N82" i="3" s="1"/>
  <c r="J81" i="3"/>
  <c r="J74" i="3" s="1"/>
  <c r="M25" i="3"/>
  <c r="E11" i="3"/>
  <c r="E6" i="3"/>
  <c r="E7" i="3"/>
  <c r="K212" i="3"/>
  <c r="L212" i="3" s="1"/>
  <c r="M212" i="3" s="1"/>
  <c r="N212" i="3" s="1"/>
  <c r="J211" i="3"/>
  <c r="L131" i="3"/>
  <c r="M132" i="3"/>
  <c r="K187" i="3"/>
  <c r="L187" i="3" s="1"/>
  <c r="M187" i="3" s="1"/>
  <c r="N187" i="3" s="1"/>
  <c r="J186" i="3"/>
  <c r="I97" i="1"/>
  <c r="I98" i="1" s="1"/>
  <c r="H99" i="1"/>
  <c r="M28" i="4" l="1"/>
  <c r="M63" i="4" s="1"/>
  <c r="K71" i="3"/>
  <c r="I99" i="1"/>
  <c r="J97" i="1"/>
  <c r="J98" i="1" s="1"/>
  <c r="J99" i="1" s="1"/>
  <c r="K75" i="3"/>
  <c r="B30" i="4"/>
  <c r="B25" i="4"/>
  <c r="H30" i="4"/>
  <c r="H25" i="4"/>
  <c r="S59" i="3"/>
  <c r="U59" i="3" s="1"/>
  <c r="L64" i="3"/>
  <c r="K108" i="3"/>
  <c r="K141" i="3"/>
  <c r="K53" i="4"/>
  <c r="K201" i="3"/>
  <c r="L201" i="3" s="1"/>
  <c r="L127" i="3"/>
  <c r="L126" i="3" s="1"/>
  <c r="J204" i="3"/>
  <c r="L31" i="3"/>
  <c r="J153" i="3"/>
  <c r="J154" i="3" s="1"/>
  <c r="J162" i="3"/>
  <c r="S61" i="3" s="1"/>
  <c r="U61" i="3" s="1"/>
  <c r="J47" i="3"/>
  <c r="L93" i="3"/>
  <c r="M54" i="4"/>
  <c r="L53" i="4"/>
  <c r="L11" i="4"/>
  <c r="M16" i="4"/>
  <c r="D7" i="4"/>
  <c r="D12" i="4" s="1"/>
  <c r="D48" i="4"/>
  <c r="D52" i="4" s="1"/>
  <c r="K151" i="3"/>
  <c r="L151" i="3" s="1"/>
  <c r="M151" i="3" s="1"/>
  <c r="N151" i="3" s="1"/>
  <c r="B12" i="3"/>
  <c r="B8" i="4" s="1"/>
  <c r="B7" i="4"/>
  <c r="B12" i="4" s="1"/>
  <c r="B48" i="4"/>
  <c r="B52" i="4" s="1"/>
  <c r="G25" i="4"/>
  <c r="G30" i="4"/>
  <c r="H48" i="4"/>
  <c r="H52" i="4" s="1"/>
  <c r="H7" i="4"/>
  <c r="H12" i="4" s="1"/>
  <c r="S57" i="3"/>
  <c r="U57" i="3" s="1"/>
  <c r="C7" i="4"/>
  <c r="C12" i="4" s="1"/>
  <c r="C48" i="4"/>
  <c r="C52" i="4" s="1"/>
  <c r="I48" i="4"/>
  <c r="I52" i="4" s="1"/>
  <c r="I7" i="4"/>
  <c r="I12" i="4" s="1"/>
  <c r="F7" i="4"/>
  <c r="F12" i="4" s="1"/>
  <c r="F48" i="4"/>
  <c r="F52" i="4" s="1"/>
  <c r="E7" i="4"/>
  <c r="E12" i="4" s="1"/>
  <c r="E48" i="4"/>
  <c r="E52" i="4" s="1"/>
  <c r="G7" i="4"/>
  <c r="G12" i="4" s="1"/>
  <c r="G48" i="4"/>
  <c r="G52" i="4" s="1"/>
  <c r="M78" i="4"/>
  <c r="L34" i="4"/>
  <c r="L69" i="4" s="1"/>
  <c r="L130" i="3"/>
  <c r="B13" i="3"/>
  <c r="B9" i="4" s="1"/>
  <c r="J102" i="3"/>
  <c r="L56" i="3"/>
  <c r="K114" i="3"/>
  <c r="J69" i="3"/>
  <c r="S46" i="3"/>
  <c r="U46" i="3" s="1"/>
  <c r="J120" i="3"/>
  <c r="K42" i="3"/>
  <c r="J35" i="3"/>
  <c r="S17" i="3"/>
  <c r="J44" i="3"/>
  <c r="L122" i="3"/>
  <c r="K118" i="3"/>
  <c r="K119" i="3" s="1"/>
  <c r="K120" i="3" s="1"/>
  <c r="J85" i="3"/>
  <c r="S35" i="3"/>
  <c r="K89" i="3"/>
  <c r="L28" i="3"/>
  <c r="M29" i="3"/>
  <c r="M131" i="3"/>
  <c r="N132" i="3"/>
  <c r="N131" i="3" s="1"/>
  <c r="K60" i="3"/>
  <c r="S25" i="3"/>
  <c r="U25" i="3" s="1"/>
  <c r="D13" i="3"/>
  <c r="D9" i="4" s="1"/>
  <c r="D12" i="3"/>
  <c r="D8" i="4" s="1"/>
  <c r="N66" i="3"/>
  <c r="N65" i="3" s="1"/>
  <c r="M65" i="3"/>
  <c r="M64" i="3" s="1"/>
  <c r="J8" i="3"/>
  <c r="K38" i="3"/>
  <c r="J40" i="3"/>
  <c r="J41" i="3"/>
  <c r="E13" i="3"/>
  <c r="E9" i="4" s="1"/>
  <c r="E12" i="3"/>
  <c r="E8" i="4" s="1"/>
  <c r="L160" i="3"/>
  <c r="N25" i="3"/>
  <c r="N24" i="3" s="1"/>
  <c r="M24" i="3"/>
  <c r="U11" i="3"/>
  <c r="F13" i="3"/>
  <c r="F9" i="4" s="1"/>
  <c r="F12" i="3"/>
  <c r="F8" i="4" s="1"/>
  <c r="J165" i="3"/>
  <c r="K163" i="3"/>
  <c r="L23" i="3"/>
  <c r="K81" i="3"/>
  <c r="J22" i="3"/>
  <c r="S10" i="3" s="1"/>
  <c r="U10" i="3" s="1"/>
  <c r="N33" i="3"/>
  <c r="N32" i="3" s="1"/>
  <c r="M32" i="3"/>
  <c r="K177" i="3"/>
  <c r="S63" i="3"/>
  <c r="U63" i="3" s="1"/>
  <c r="J194" i="3"/>
  <c r="L108" i="3"/>
  <c r="K205" i="3"/>
  <c r="J198" i="3"/>
  <c r="S71" i="3"/>
  <c r="U71" i="3" s="1"/>
  <c r="J207" i="3"/>
  <c r="S73" i="3" s="1"/>
  <c r="U73" i="3" s="1"/>
  <c r="M94" i="3"/>
  <c r="M93" i="3" s="1"/>
  <c r="N95" i="3"/>
  <c r="N94" i="3" s="1"/>
  <c r="I13" i="3"/>
  <c r="I9" i="4" s="1"/>
  <c r="I12" i="3"/>
  <c r="I8" i="4" s="1"/>
  <c r="T6" i="3"/>
  <c r="L197" i="3"/>
  <c r="M196" i="3"/>
  <c r="M127" i="3"/>
  <c r="N128" i="3"/>
  <c r="N127" i="3" s="1"/>
  <c r="J50" i="3"/>
  <c r="K48" i="3"/>
  <c r="J17" i="3"/>
  <c r="J210" i="3"/>
  <c r="K208" i="3"/>
  <c r="L75" i="3"/>
  <c r="K68" i="3"/>
  <c r="J52" i="3"/>
  <c r="J70" i="3" s="1"/>
  <c r="K27" i="3"/>
  <c r="S13" i="3"/>
  <c r="U13" i="3" s="1"/>
  <c r="J184" i="3"/>
  <c r="K182" i="3"/>
  <c r="J185" i="3"/>
  <c r="L111" i="3"/>
  <c r="U23" i="3"/>
  <c r="M91" i="3"/>
  <c r="L90" i="3"/>
  <c r="U47" i="3"/>
  <c r="S45" i="3"/>
  <c r="U45" i="3" s="1"/>
  <c r="K186" i="3"/>
  <c r="J188" i="3"/>
  <c r="S67" i="3" s="1"/>
  <c r="U67" i="3" s="1"/>
  <c r="J179" i="3"/>
  <c r="S65" i="3"/>
  <c r="U65" i="3" s="1"/>
  <c r="K144" i="3"/>
  <c r="J146" i="3"/>
  <c r="L78" i="3"/>
  <c r="L98" i="3"/>
  <c r="M99" i="3"/>
  <c r="C12" i="3"/>
  <c r="C8" i="4" s="1"/>
  <c r="C13" i="3"/>
  <c r="C9" i="4" s="1"/>
  <c r="M57" i="3"/>
  <c r="N58" i="3"/>
  <c r="N57" i="3" s="1"/>
  <c r="L189" i="3"/>
  <c r="G12" i="3"/>
  <c r="G8" i="4" s="1"/>
  <c r="G13" i="3"/>
  <c r="G9" i="4" s="1"/>
  <c r="L166" i="3"/>
  <c r="J143" i="3"/>
  <c r="S55" i="3" s="1"/>
  <c r="U55" i="3" s="1"/>
  <c r="H13" i="3"/>
  <c r="H9" i="4" s="1"/>
  <c r="H12" i="3"/>
  <c r="H8" i="4" s="1"/>
  <c r="L147" i="3"/>
  <c r="L141" i="3"/>
  <c r="L71" i="3"/>
  <c r="J149" i="3"/>
  <c r="J213" i="3"/>
  <c r="K211" i="3"/>
  <c r="J14" i="3"/>
  <c r="J56" i="4" s="1"/>
  <c r="M192" i="3"/>
  <c r="J135" i="3"/>
  <c r="J136" i="3"/>
  <c r="K97" i="3"/>
  <c r="S39" i="3"/>
  <c r="U39" i="3" s="1"/>
  <c r="J158" i="3"/>
  <c r="K156" i="3"/>
  <c r="J159" i="3"/>
  <c r="L45" i="3"/>
  <c r="J140" i="3"/>
  <c r="J139" i="3"/>
  <c r="K137" i="3"/>
  <c r="J107" i="3"/>
  <c r="K104" i="3"/>
  <c r="M62" i="3"/>
  <c r="L61" i="3"/>
  <c r="N124" i="3"/>
  <c r="N123" i="3" s="1"/>
  <c r="M123" i="3"/>
  <c r="N28" i="4" l="1"/>
  <c r="N63" i="4" s="1"/>
  <c r="K74" i="3"/>
  <c r="K134" i="3"/>
  <c r="K136" i="3" s="1"/>
  <c r="J25" i="4"/>
  <c r="J30" i="4"/>
  <c r="M31" i="3"/>
  <c r="M126" i="3"/>
  <c r="K203" i="3"/>
  <c r="M130" i="3"/>
  <c r="K204" i="3"/>
  <c r="J155" i="3"/>
  <c r="K168" i="3"/>
  <c r="N130" i="3"/>
  <c r="J57" i="4"/>
  <c r="J64" i="4"/>
  <c r="K162" i="3"/>
  <c r="L27" i="3"/>
  <c r="N64" i="3"/>
  <c r="N31" i="3"/>
  <c r="N54" i="4"/>
  <c r="N53" i="4" s="1"/>
  <c r="M53" i="4"/>
  <c r="L10" i="4"/>
  <c r="M11" i="4"/>
  <c r="I59" i="4"/>
  <c r="I60" i="4" s="1"/>
  <c r="I61" i="4" s="1"/>
  <c r="N16" i="4"/>
  <c r="I15" i="4"/>
  <c r="I20" i="4" s="1"/>
  <c r="I14" i="4"/>
  <c r="C15" i="4"/>
  <c r="C14" i="4"/>
  <c r="H14" i="4"/>
  <c r="H15" i="4"/>
  <c r="H59" i="4"/>
  <c r="H60" i="4" s="1"/>
  <c r="H58" i="4"/>
  <c r="F59" i="4"/>
  <c r="F60" i="4" s="1"/>
  <c r="F58" i="4"/>
  <c r="F14" i="4"/>
  <c r="F15" i="4"/>
  <c r="B59" i="4"/>
  <c r="B60" i="4" s="1"/>
  <c r="B58" i="4"/>
  <c r="C58" i="4"/>
  <c r="C59" i="4"/>
  <c r="C60" i="4" s="1"/>
  <c r="I58" i="4"/>
  <c r="G14" i="4"/>
  <c r="G15" i="4"/>
  <c r="E14" i="4"/>
  <c r="E15" i="4"/>
  <c r="B15" i="4"/>
  <c r="B14" i="4"/>
  <c r="D59" i="4"/>
  <c r="D60" i="4" s="1"/>
  <c r="D58" i="4"/>
  <c r="J49" i="4"/>
  <c r="J6" i="4"/>
  <c r="J27" i="4" s="1"/>
  <c r="G59" i="4"/>
  <c r="G60" i="4" s="1"/>
  <c r="G58" i="4"/>
  <c r="D14" i="4"/>
  <c r="D15" i="4"/>
  <c r="E59" i="4"/>
  <c r="E60" i="4" s="1"/>
  <c r="E58" i="4"/>
  <c r="N78" i="4"/>
  <c r="M34" i="4"/>
  <c r="M69" i="4" s="1"/>
  <c r="K149" i="3"/>
  <c r="N126" i="3"/>
  <c r="L97" i="3"/>
  <c r="N93" i="3"/>
  <c r="K165" i="3"/>
  <c r="L163" i="3"/>
  <c r="K14" i="3"/>
  <c r="K56" i="4" s="1"/>
  <c r="N192" i="3"/>
  <c r="M189" i="3"/>
  <c r="K17" i="3"/>
  <c r="L48" i="3"/>
  <c r="L177" i="3"/>
  <c r="L191" i="3" s="1"/>
  <c r="K194" i="3"/>
  <c r="L162" i="3"/>
  <c r="M160" i="3"/>
  <c r="J86" i="3"/>
  <c r="J113" i="3"/>
  <c r="J110" i="3"/>
  <c r="S43" i="3" s="1"/>
  <c r="U43" i="3" s="1"/>
  <c r="J15" i="3"/>
  <c r="K191" i="3"/>
  <c r="M61" i="3"/>
  <c r="N62" i="3"/>
  <c r="N61" i="3" s="1"/>
  <c r="K213" i="3"/>
  <c r="L211" i="3"/>
  <c r="L204" i="3" s="1"/>
  <c r="M122" i="3"/>
  <c r="L118" i="3"/>
  <c r="L119" i="3" s="1"/>
  <c r="L120" i="3" s="1"/>
  <c r="K107" i="3"/>
  <c r="L104" i="3"/>
  <c r="L101" i="3" s="1"/>
  <c r="M90" i="3"/>
  <c r="N91" i="3"/>
  <c r="N90" i="3" s="1"/>
  <c r="S21" i="3"/>
  <c r="U21" i="3" s="1"/>
  <c r="N196" i="3"/>
  <c r="N197" i="3" s="1"/>
  <c r="M197" i="3"/>
  <c r="J3" i="3"/>
  <c r="U17" i="3"/>
  <c r="S5" i="3"/>
  <c r="U5" i="3" s="1"/>
  <c r="J106" i="3"/>
  <c r="L81" i="3"/>
  <c r="J36" i="3"/>
  <c r="J5" i="3"/>
  <c r="J5" i="4" s="1"/>
  <c r="J37" i="3"/>
  <c r="K140" i="3"/>
  <c r="K139" i="3"/>
  <c r="L137" i="3"/>
  <c r="L134" i="3" s="1"/>
  <c r="M98" i="3"/>
  <c r="N99" i="3"/>
  <c r="N98" i="3" s="1"/>
  <c r="J83" i="3"/>
  <c r="L38" i="3"/>
  <c r="K8" i="3"/>
  <c r="K41" i="3"/>
  <c r="K35" i="3"/>
  <c r="L42" i="3"/>
  <c r="M71" i="3"/>
  <c r="M111" i="3"/>
  <c r="K21" i="3"/>
  <c r="K40" i="3" s="1"/>
  <c r="J9" i="3"/>
  <c r="K143" i="3"/>
  <c r="M78" i="3"/>
  <c r="M23" i="3"/>
  <c r="L21" i="3"/>
  <c r="M141" i="3"/>
  <c r="K184" i="3"/>
  <c r="L182" i="3"/>
  <c r="K185" i="3"/>
  <c r="M45" i="3"/>
  <c r="M147" i="3"/>
  <c r="L114" i="3"/>
  <c r="L144" i="3"/>
  <c r="K146" i="3"/>
  <c r="J116" i="3"/>
  <c r="L156" i="3"/>
  <c r="L153" i="3" s="1"/>
  <c r="K158" i="3"/>
  <c r="K159" i="3"/>
  <c r="J53" i="3"/>
  <c r="J73" i="3"/>
  <c r="J80" i="3"/>
  <c r="J77" i="3"/>
  <c r="S31" i="3" s="1"/>
  <c r="U31" i="3" s="1"/>
  <c r="J200" i="3"/>
  <c r="J199" i="3"/>
  <c r="L60" i="3"/>
  <c r="M56" i="3"/>
  <c r="J180" i="3"/>
  <c r="J181" i="3"/>
  <c r="K198" i="3"/>
  <c r="L205" i="3"/>
  <c r="K207" i="3"/>
  <c r="K52" i="3"/>
  <c r="K70" i="3" s="1"/>
  <c r="K69" i="3"/>
  <c r="J103" i="3"/>
  <c r="M166" i="3"/>
  <c r="L168" i="3"/>
  <c r="L186" i="3"/>
  <c r="K188" i="3"/>
  <c r="K179" i="3"/>
  <c r="L68" i="3"/>
  <c r="M75" i="3"/>
  <c r="K101" i="3"/>
  <c r="S9" i="3"/>
  <c r="M28" i="3"/>
  <c r="M27" i="3" s="1"/>
  <c r="N29" i="3"/>
  <c r="N28" i="3" s="1"/>
  <c r="L208" i="3"/>
  <c r="K210" i="3"/>
  <c r="M108" i="3"/>
  <c r="L89" i="3"/>
  <c r="K85" i="3"/>
  <c r="K116" i="3" s="1"/>
  <c r="L203" i="3"/>
  <c r="M201" i="3"/>
  <c r="J18" i="3"/>
  <c r="K153" i="3"/>
  <c r="S33" i="3"/>
  <c r="U33" i="3" s="1"/>
  <c r="U35" i="3"/>
  <c r="K25" i="4" l="1"/>
  <c r="L25" i="4" s="1"/>
  <c r="K135" i="3"/>
  <c r="K30" i="4"/>
  <c r="L30" i="4" s="1"/>
  <c r="M30" i="4" s="1"/>
  <c r="N30" i="4" s="1"/>
  <c r="N27" i="3"/>
  <c r="M60" i="3"/>
  <c r="K57" i="4"/>
  <c r="K64" i="4"/>
  <c r="K44" i="3"/>
  <c r="K50" i="3"/>
  <c r="N11" i="4"/>
  <c r="N10" i="4" s="1"/>
  <c r="M10" i="4"/>
  <c r="C61" i="4"/>
  <c r="H61" i="4"/>
  <c r="B61" i="4"/>
  <c r="G61" i="4"/>
  <c r="K49" i="4"/>
  <c r="K6" i="4"/>
  <c r="D61" i="4"/>
  <c r="F61" i="4"/>
  <c r="J4" i="3"/>
  <c r="J3" i="4"/>
  <c r="J14" i="4"/>
  <c r="H17" i="4"/>
  <c r="H20" i="4"/>
  <c r="H70" i="4" s="1"/>
  <c r="H71" i="4" s="1"/>
  <c r="H72" i="4" s="1"/>
  <c r="B17" i="4"/>
  <c r="B19" i="4" s="1"/>
  <c r="B20" i="4"/>
  <c r="N60" i="3"/>
  <c r="E17" i="4"/>
  <c r="E20" i="4"/>
  <c r="E70" i="4" s="1"/>
  <c r="E71" i="4" s="1"/>
  <c r="E72" i="4" s="1"/>
  <c r="E61" i="4"/>
  <c r="F20" i="4"/>
  <c r="F70" i="4" s="1"/>
  <c r="F71" i="4" s="1"/>
  <c r="F72" i="4" s="1"/>
  <c r="F17" i="4"/>
  <c r="G20" i="4"/>
  <c r="G70" i="4" s="1"/>
  <c r="G71" i="4" s="1"/>
  <c r="G72" i="4" s="1"/>
  <c r="G17" i="4"/>
  <c r="C20" i="4"/>
  <c r="C70" i="4" s="1"/>
  <c r="C71" i="4" s="1"/>
  <c r="C72" i="4" s="1"/>
  <c r="C17" i="4"/>
  <c r="D20" i="4"/>
  <c r="D70" i="4" s="1"/>
  <c r="D71" i="4" s="1"/>
  <c r="D72" i="4" s="1"/>
  <c r="D17" i="4"/>
  <c r="D19" i="4" s="1"/>
  <c r="I17" i="4"/>
  <c r="N34" i="4"/>
  <c r="N69" i="4" s="1"/>
  <c r="K106" i="3"/>
  <c r="J10" i="3"/>
  <c r="M97" i="3"/>
  <c r="N97" i="3" s="1"/>
  <c r="L135" i="3"/>
  <c r="L136" i="3"/>
  <c r="M89" i="3"/>
  <c r="L85" i="3"/>
  <c r="L116" i="3" s="1"/>
  <c r="M68" i="3"/>
  <c r="N75" i="3"/>
  <c r="N45" i="3"/>
  <c r="L35" i="3"/>
  <c r="L44" i="3"/>
  <c r="M42" i="3"/>
  <c r="L69" i="3"/>
  <c r="L184" i="3"/>
  <c r="L185" i="3"/>
  <c r="M182" i="3"/>
  <c r="K36" i="3"/>
  <c r="K5" i="3"/>
  <c r="K5" i="4" s="1"/>
  <c r="K37" i="3"/>
  <c r="J87" i="3"/>
  <c r="S34" i="3"/>
  <c r="U34" i="3" s="1"/>
  <c r="K154" i="3"/>
  <c r="K155" i="3"/>
  <c r="K181" i="3"/>
  <c r="K180" i="3"/>
  <c r="N160" i="3"/>
  <c r="M162" i="3"/>
  <c r="J19" i="3"/>
  <c r="N141" i="3"/>
  <c r="K9" i="3"/>
  <c r="L154" i="3"/>
  <c r="L155" i="3"/>
  <c r="M186" i="3"/>
  <c r="L188" i="3"/>
  <c r="L179" i="3"/>
  <c r="M203" i="3"/>
  <c r="N201" i="3"/>
  <c r="J54" i="3"/>
  <c r="S22" i="3"/>
  <c r="U22" i="3" s="1"/>
  <c r="L143" i="3"/>
  <c r="L41" i="3"/>
  <c r="L8" i="3"/>
  <c r="M38" i="3"/>
  <c r="L40" i="3"/>
  <c r="M168" i="3"/>
  <c r="N166" i="3"/>
  <c r="N168" i="3" s="1"/>
  <c r="L22" i="3"/>
  <c r="M177" i="3"/>
  <c r="M191" i="3" s="1"/>
  <c r="L194" i="3"/>
  <c r="N23" i="3"/>
  <c r="N21" i="3" s="1"/>
  <c r="M21" i="3"/>
  <c r="M47" i="3" s="1"/>
  <c r="L106" i="3"/>
  <c r="L107" i="3"/>
  <c r="M104" i="3"/>
  <c r="M101" i="3" s="1"/>
  <c r="L50" i="3"/>
  <c r="L17" i="3"/>
  <c r="M48" i="3"/>
  <c r="K86" i="3"/>
  <c r="K87" i="3" s="1"/>
  <c r="K110" i="3"/>
  <c r="K113" i="3"/>
  <c r="M156" i="3"/>
  <c r="M153" i="3" s="1"/>
  <c r="L158" i="3"/>
  <c r="L159" i="3"/>
  <c r="K18" i="3"/>
  <c r="N78" i="3"/>
  <c r="N108" i="3"/>
  <c r="L140" i="3"/>
  <c r="L139" i="3"/>
  <c r="M137" i="3"/>
  <c r="M134" i="3" s="1"/>
  <c r="L102" i="3"/>
  <c r="K53" i="3"/>
  <c r="K54" i="3" s="1"/>
  <c r="K77" i="3"/>
  <c r="K80" i="3"/>
  <c r="K73" i="3"/>
  <c r="N122" i="3"/>
  <c r="N118" i="3" s="1"/>
  <c r="M118" i="3"/>
  <c r="M119" i="3" s="1"/>
  <c r="M120" i="3" s="1"/>
  <c r="N189" i="3"/>
  <c r="M144" i="3"/>
  <c r="L146" i="3"/>
  <c r="L213" i="3"/>
  <c r="M211" i="3"/>
  <c r="M204" i="3" s="1"/>
  <c r="L207" i="3"/>
  <c r="L198" i="3"/>
  <c r="M205" i="3"/>
  <c r="M114" i="3"/>
  <c r="K22" i="3"/>
  <c r="K3" i="3"/>
  <c r="K47" i="3"/>
  <c r="L210" i="3"/>
  <c r="M208" i="3"/>
  <c r="K200" i="3"/>
  <c r="K199" i="3"/>
  <c r="J6" i="3"/>
  <c r="J11" i="3"/>
  <c r="J7" i="3"/>
  <c r="K15" i="3"/>
  <c r="N147" i="3"/>
  <c r="N111" i="3"/>
  <c r="L165" i="3"/>
  <c r="M163" i="3"/>
  <c r="L149" i="3"/>
  <c r="K83" i="3"/>
  <c r="S3" i="3"/>
  <c r="U3" i="3" s="1"/>
  <c r="U9" i="3"/>
  <c r="M52" i="3"/>
  <c r="M73" i="3" s="1"/>
  <c r="N56" i="3"/>
  <c r="L14" i="3"/>
  <c r="L56" i="4" s="1"/>
  <c r="N71" i="3"/>
  <c r="M81" i="3"/>
  <c r="K102" i="3"/>
  <c r="K103" i="3"/>
  <c r="L52" i="3"/>
  <c r="L47" i="3"/>
  <c r="L74" i="3"/>
  <c r="J16" i="3"/>
  <c r="H19" i="4" l="1"/>
  <c r="L57" i="4"/>
  <c r="L64" i="4"/>
  <c r="G19" i="4"/>
  <c r="F74" i="4"/>
  <c r="J20" i="4"/>
  <c r="K20" i="4" s="1"/>
  <c r="L20" i="4" s="1"/>
  <c r="M20" i="4" s="1"/>
  <c r="N20" i="4" s="1"/>
  <c r="F19" i="4"/>
  <c r="C19" i="4"/>
  <c r="H74" i="4"/>
  <c r="J7" i="4"/>
  <c r="J12" i="4" s="1"/>
  <c r="J13" i="4" s="1"/>
  <c r="J50" i="4" s="1"/>
  <c r="J51" i="4" s="1"/>
  <c r="J48" i="4"/>
  <c r="G74" i="4"/>
  <c r="K14" i="4"/>
  <c r="L14" i="4" s="1"/>
  <c r="M14" i="4" s="1"/>
  <c r="N14" i="4" s="1"/>
  <c r="N52" i="3"/>
  <c r="N53" i="3" s="1"/>
  <c r="N54" i="3" s="1"/>
  <c r="M25" i="4"/>
  <c r="D74" i="4"/>
  <c r="K4" i="3"/>
  <c r="K4" i="4" s="1"/>
  <c r="K3" i="4"/>
  <c r="B70" i="4"/>
  <c r="B71" i="4" s="1"/>
  <c r="S4" i="3"/>
  <c r="U4" i="3" s="1"/>
  <c r="J4" i="4"/>
  <c r="M14" i="3"/>
  <c r="E19" i="4"/>
  <c r="C74" i="4"/>
  <c r="E74" i="4"/>
  <c r="M53" i="3"/>
  <c r="M54" i="3" s="1"/>
  <c r="I70" i="4"/>
  <c r="I71" i="4" s="1"/>
  <c r="L49" i="4"/>
  <c r="L6" i="4"/>
  <c r="I19" i="4"/>
  <c r="M77" i="3"/>
  <c r="M136" i="3"/>
  <c r="M135" i="3"/>
  <c r="J12" i="3"/>
  <c r="J13" i="3"/>
  <c r="M40" i="3"/>
  <c r="N38" i="3"/>
  <c r="M8" i="3"/>
  <c r="M41" i="3"/>
  <c r="M154" i="3"/>
  <c r="M155" i="3"/>
  <c r="M158" i="3"/>
  <c r="M159" i="3"/>
  <c r="N156" i="3"/>
  <c r="N47" i="3"/>
  <c r="N119" i="3"/>
  <c r="N120" i="3" s="1"/>
  <c r="N162" i="3"/>
  <c r="N153" i="3"/>
  <c r="N68" i="3"/>
  <c r="M210" i="3"/>
  <c r="N208" i="3"/>
  <c r="N210" i="3" s="1"/>
  <c r="N114" i="3"/>
  <c r="K7" i="3"/>
  <c r="K11" i="3"/>
  <c r="K6" i="3"/>
  <c r="M165" i="3"/>
  <c r="N163" i="3"/>
  <c r="N165" i="3" s="1"/>
  <c r="M22" i="3"/>
  <c r="M179" i="3"/>
  <c r="M188" i="3"/>
  <c r="N186" i="3"/>
  <c r="N205" i="3"/>
  <c r="M207" i="3"/>
  <c r="M198" i="3"/>
  <c r="M102" i="3"/>
  <c r="N22" i="3"/>
  <c r="N182" i="3"/>
  <c r="M184" i="3"/>
  <c r="M185" i="3"/>
  <c r="L200" i="3"/>
  <c r="L199" i="3"/>
  <c r="N177" i="3"/>
  <c r="N194" i="3" s="1"/>
  <c r="M194" i="3"/>
  <c r="M149" i="3"/>
  <c r="M213" i="3"/>
  <c r="N211" i="3"/>
  <c r="N213" i="3" s="1"/>
  <c r="M80" i="3"/>
  <c r="K10" i="3"/>
  <c r="L53" i="3"/>
  <c r="L54" i="3" s="1"/>
  <c r="L73" i="3"/>
  <c r="L80" i="3"/>
  <c r="L77" i="3"/>
  <c r="N149" i="3"/>
  <c r="L3" i="3"/>
  <c r="M143" i="3"/>
  <c r="L70" i="3"/>
  <c r="K16" i="3"/>
  <c r="M44" i="3"/>
  <c r="N42" i="3"/>
  <c r="M35" i="3"/>
  <c r="M146" i="3"/>
  <c r="N144" i="3"/>
  <c r="N146" i="3" s="1"/>
  <c r="K19" i="3"/>
  <c r="N143" i="3"/>
  <c r="L83" i="3"/>
  <c r="L5" i="3"/>
  <c r="L5" i="4" s="1"/>
  <c r="L36" i="3"/>
  <c r="L37" i="3"/>
  <c r="M83" i="3"/>
  <c r="N81" i="3"/>
  <c r="N74" i="3" s="1"/>
  <c r="L9" i="3"/>
  <c r="M74" i="3"/>
  <c r="L15" i="3"/>
  <c r="N48" i="3"/>
  <c r="M50" i="3"/>
  <c r="M17" i="3"/>
  <c r="M70" i="3"/>
  <c r="M69" i="3"/>
  <c r="L18" i="3"/>
  <c r="N203" i="3"/>
  <c r="L86" i="3"/>
  <c r="L87" i="3" s="1"/>
  <c r="L113" i="3"/>
  <c r="L110" i="3"/>
  <c r="L103" i="3"/>
  <c r="M85" i="3"/>
  <c r="M3" i="3" s="1"/>
  <c r="N89" i="3"/>
  <c r="N85" i="3" s="1"/>
  <c r="N86" i="3" s="1"/>
  <c r="N87" i="3" s="1"/>
  <c r="M107" i="3"/>
  <c r="N104" i="3"/>
  <c r="N101" i="3" s="1"/>
  <c r="M106" i="3"/>
  <c r="M139" i="3"/>
  <c r="N137" i="3"/>
  <c r="M140" i="3"/>
  <c r="L181" i="3"/>
  <c r="L180" i="3"/>
  <c r="J52" i="4" l="1"/>
  <c r="N77" i="3"/>
  <c r="N80" i="3"/>
  <c r="N83" i="3"/>
  <c r="M15" i="3"/>
  <c r="M56" i="4"/>
  <c r="N73" i="3"/>
  <c r="J55" i="4"/>
  <c r="K55" i="4"/>
  <c r="B72" i="4"/>
  <c r="B74" i="4"/>
  <c r="B76" i="4" s="1"/>
  <c r="B22" i="4" s="1"/>
  <c r="M4" i="3"/>
  <c r="M4" i="4" s="1"/>
  <c r="M3" i="4"/>
  <c r="L4" i="3"/>
  <c r="L4" i="4" s="1"/>
  <c r="L3" i="4"/>
  <c r="I72" i="4"/>
  <c r="I74" i="4"/>
  <c r="N25" i="4"/>
  <c r="M49" i="4"/>
  <c r="M6" i="4"/>
  <c r="N204" i="3"/>
  <c r="K7" i="4"/>
  <c r="K12" i="4" s="1"/>
  <c r="K13" i="4" s="1"/>
  <c r="K48" i="4"/>
  <c r="S7" i="3"/>
  <c r="U7" i="3" s="1"/>
  <c r="J9" i="4"/>
  <c r="S6" i="3"/>
  <c r="U6" i="3" s="1"/>
  <c r="J8" i="4"/>
  <c r="J15" i="4"/>
  <c r="L10" i="3"/>
  <c r="N110" i="3"/>
  <c r="L16" i="3"/>
  <c r="N139" i="3"/>
  <c r="N140" i="3"/>
  <c r="M5" i="3"/>
  <c r="M5" i="4" s="1"/>
  <c r="M36" i="3"/>
  <c r="M37" i="3"/>
  <c r="N35" i="3"/>
  <c r="N44" i="3"/>
  <c r="N107" i="3"/>
  <c r="N106" i="3"/>
  <c r="M10" i="3"/>
  <c r="M9" i="3"/>
  <c r="K12" i="3"/>
  <c r="K8" i="4" s="1"/>
  <c r="K13" i="3"/>
  <c r="K9" i="4" s="1"/>
  <c r="M86" i="3"/>
  <c r="M87" i="3" s="1"/>
  <c r="M113" i="3"/>
  <c r="M110" i="3"/>
  <c r="N3" i="3"/>
  <c r="N70" i="3"/>
  <c r="N69" i="3"/>
  <c r="M103" i="3"/>
  <c r="N154" i="3"/>
  <c r="N155" i="3"/>
  <c r="L7" i="3"/>
  <c r="L11" i="3"/>
  <c r="L6" i="3"/>
  <c r="M200" i="3"/>
  <c r="M199" i="3"/>
  <c r="L19" i="3"/>
  <c r="N191" i="3"/>
  <c r="N207" i="3"/>
  <c r="N198" i="3"/>
  <c r="N14" i="3"/>
  <c r="N56" i="4" s="1"/>
  <c r="N134" i="3"/>
  <c r="N179" i="3"/>
  <c r="N188" i="3"/>
  <c r="M19" i="3"/>
  <c r="M18" i="3"/>
  <c r="N159" i="3"/>
  <c r="N158" i="3"/>
  <c r="M181" i="3"/>
  <c r="M180" i="3"/>
  <c r="N50" i="3"/>
  <c r="N17" i="3"/>
  <c r="N103" i="3"/>
  <c r="N102" i="3"/>
  <c r="N40" i="3"/>
  <c r="N8" i="3"/>
  <c r="N41" i="3"/>
  <c r="N113" i="3"/>
  <c r="M116" i="3"/>
  <c r="N116" i="3"/>
  <c r="M16" i="3"/>
  <c r="N184" i="3"/>
  <c r="N185" i="3"/>
  <c r="J60" i="4" l="1"/>
  <c r="B33" i="4"/>
  <c r="B46" i="4" s="1"/>
  <c r="K15" i="4"/>
  <c r="K50" i="4"/>
  <c r="K51" i="4" s="1"/>
  <c r="M57" i="4"/>
  <c r="M64" i="4"/>
  <c r="N57" i="4"/>
  <c r="N64" i="4"/>
  <c r="J18" i="4"/>
  <c r="J68" i="4" s="1"/>
  <c r="J17" i="4"/>
  <c r="J19" i="4" s="1"/>
  <c r="J58" i="4"/>
  <c r="L7" i="4"/>
  <c r="L12" i="4" s="1"/>
  <c r="L13" i="4" s="1"/>
  <c r="L48" i="4"/>
  <c r="N49" i="4"/>
  <c r="N6" i="4"/>
  <c r="N4" i="3"/>
  <c r="N4" i="4" s="1"/>
  <c r="N3" i="4"/>
  <c r="C75" i="4"/>
  <c r="C76" i="4" s="1"/>
  <c r="C22" i="4" s="1"/>
  <c r="B77" i="4"/>
  <c r="N37" i="3"/>
  <c r="N36" i="3"/>
  <c r="N5" i="3"/>
  <c r="N5" i="4" s="1"/>
  <c r="M11" i="3"/>
  <c r="M7" i="3"/>
  <c r="M6" i="3"/>
  <c r="N181" i="3"/>
  <c r="N180" i="3"/>
  <c r="N136" i="3"/>
  <c r="N135" i="3"/>
  <c r="N15" i="3"/>
  <c r="N16" i="3"/>
  <c r="N199" i="3"/>
  <c r="N200" i="3"/>
  <c r="N10" i="3"/>
  <c r="N9" i="3"/>
  <c r="L12" i="3"/>
  <c r="L8" i="4" s="1"/>
  <c r="L13" i="3"/>
  <c r="L9" i="4" s="1"/>
  <c r="N19" i="3"/>
  <c r="N18" i="3"/>
  <c r="K18" i="4" l="1"/>
  <c r="K68" i="4" s="1"/>
  <c r="M55" i="4"/>
  <c r="C33" i="4"/>
  <c r="C46" i="4" s="1"/>
  <c r="J41" i="4"/>
  <c r="K17" i="4"/>
  <c r="K52" i="4"/>
  <c r="K60" i="4" s="1"/>
  <c r="L15" i="4"/>
  <c r="L17" i="4" s="1"/>
  <c r="L19" i="4" s="1"/>
  <c r="L50" i="4"/>
  <c r="L51" i="4" s="1"/>
  <c r="J71" i="4"/>
  <c r="J74" i="4" s="1"/>
  <c r="L55" i="4"/>
  <c r="M7" i="4"/>
  <c r="M12" i="4" s="1"/>
  <c r="M13" i="4" s="1"/>
  <c r="M48" i="4"/>
  <c r="K19" i="4"/>
  <c r="C77" i="4"/>
  <c r="D75" i="4"/>
  <c r="D76" i="4" s="1"/>
  <c r="D22" i="4" s="1"/>
  <c r="N55" i="4"/>
  <c r="M12" i="3"/>
  <c r="M8" i="4" s="1"/>
  <c r="M13" i="3"/>
  <c r="M9" i="4" s="1"/>
  <c r="N6" i="3"/>
  <c r="N11" i="3"/>
  <c r="N7" i="3"/>
  <c r="K41" i="4" l="1"/>
  <c r="K45" i="4" s="1"/>
  <c r="K71" i="4"/>
  <c r="K74" i="4" s="1"/>
  <c r="L18" i="4"/>
  <c r="L68" i="4" s="1"/>
  <c r="J45" i="4"/>
  <c r="L52" i="4"/>
  <c r="L58" i="4" s="1"/>
  <c r="D33" i="4"/>
  <c r="D46" i="4" s="1"/>
  <c r="K58" i="4"/>
  <c r="M15" i="4"/>
  <c r="M18" i="4" s="1"/>
  <c r="M68" i="4" s="1"/>
  <c r="M50" i="4"/>
  <c r="M51" i="4" s="1"/>
  <c r="N7" i="4"/>
  <c r="N12" i="4" s="1"/>
  <c r="N13" i="4" s="1"/>
  <c r="N48" i="4"/>
  <c r="D77" i="4"/>
  <c r="E75" i="4"/>
  <c r="E76" i="4" s="1"/>
  <c r="E22" i="4" s="1"/>
  <c r="N12" i="3"/>
  <c r="N8" i="4" s="1"/>
  <c r="N13" i="3"/>
  <c r="N9" i="4" s="1"/>
  <c r="L41" i="4" l="1"/>
  <c r="L60" i="4"/>
  <c r="L71" i="4"/>
  <c r="L74" i="4" s="1"/>
  <c r="M17" i="4"/>
  <c r="M19" i="4" s="1"/>
  <c r="E33" i="4"/>
  <c r="E46" i="4" s="1"/>
  <c r="M71" i="4"/>
  <c r="M52" i="4"/>
  <c r="N15" i="4"/>
  <c r="N18" i="4" s="1"/>
  <c r="N68" i="4" s="1"/>
  <c r="N71" i="4" s="1"/>
  <c r="N50" i="4"/>
  <c r="N51" i="4" s="1"/>
  <c r="F75" i="4"/>
  <c r="F76" i="4" s="1"/>
  <c r="F22" i="4" s="1"/>
  <c r="E77" i="4"/>
  <c r="M41" i="4" l="1"/>
  <c r="M45" i="4" s="1"/>
  <c r="N41" i="4"/>
  <c r="N45" i="4" s="1"/>
  <c r="L45" i="4"/>
  <c r="N17" i="4"/>
  <c r="N19" i="4" s="1"/>
  <c r="F33" i="4"/>
  <c r="F46" i="4" s="1"/>
  <c r="M60" i="4"/>
  <c r="M74" i="4" s="1"/>
  <c r="M58" i="4"/>
  <c r="N52" i="4"/>
  <c r="G75" i="4"/>
  <c r="G76" i="4" s="1"/>
  <c r="G22" i="4" s="1"/>
  <c r="F77" i="4"/>
  <c r="G33" i="4" l="1"/>
  <c r="G46" i="4" s="1"/>
  <c r="N58" i="4"/>
  <c r="N60" i="4"/>
  <c r="N74" i="4" s="1"/>
  <c r="G77" i="4"/>
  <c r="H75" i="4"/>
  <c r="H76" i="4" s="1"/>
  <c r="H22" i="4" s="1"/>
  <c r="H33" i="4" l="1"/>
  <c r="H46" i="4" s="1"/>
  <c r="I75" i="4"/>
  <c r="I76" i="4" s="1"/>
  <c r="H77" i="4"/>
  <c r="I22" i="4" l="1"/>
  <c r="J75" i="4"/>
  <c r="J76" i="4" s="1"/>
  <c r="I33" i="4" l="1"/>
  <c r="I46" i="4" s="1"/>
  <c r="J22" i="4"/>
  <c r="I77" i="4"/>
  <c r="K75" i="4"/>
  <c r="K76" i="4" s="1"/>
  <c r="S12" i="4" l="1"/>
  <c r="U12" i="4" s="1"/>
  <c r="J77" i="4"/>
  <c r="L75" i="4"/>
  <c r="L76" i="4" s="1"/>
  <c r="K22" i="4"/>
  <c r="K77" i="4" l="1"/>
  <c r="K33" i="4"/>
  <c r="M75" i="4"/>
  <c r="M76" i="4" s="1"/>
  <c r="L22" i="4"/>
  <c r="L77" i="4" l="1"/>
  <c r="L33" i="4"/>
  <c r="N75" i="4"/>
  <c r="N76" i="4" s="1"/>
  <c r="M22" i="4"/>
  <c r="M77" i="4" l="1"/>
  <c r="M33" i="4"/>
  <c r="N22" i="4"/>
  <c r="G1" i="4"/>
  <c r="F1" i="4" s="1"/>
  <c r="E1" i="4" s="1"/>
  <c r="D1" i="4" s="1"/>
  <c r="C1" i="4" s="1"/>
  <c r="B1" i="4" s="1"/>
  <c r="K1" i="4"/>
  <c r="L1" i="4" s="1"/>
  <c r="M1" i="4" s="1"/>
  <c r="N1" i="4" s="1"/>
  <c r="N77" i="4" l="1"/>
  <c r="N3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87"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<sst xmlns="http://schemas.openxmlformats.org/spreadsheetml/2006/main" count="750" uniqueCount="269">
  <si>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</si>
  <si>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</si>
  <si>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</si>
  <si>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</si>
  <si>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</si>
  <si>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</si>
  <si>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</si>
  <si>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</si>
  <si>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</si>
  <si>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</si>
  <si>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</si>
  <si>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</si>
  <si>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</si>
  <si>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</si>
  <si>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</si>
  <si>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</si>
  <si>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</si>
  <si>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</si>
  <si>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</si>
  <si>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</si>
  <si>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</si>
  <si>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</si>
  <si>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</si>
  <si>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</si>
  <si>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</si>
  <si>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</si>
  <si>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</si>
  <si>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</si>
  <si>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</si>
  <si>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</si>
  <si>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</si>
  <si>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</si>
  <si>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</si>
  <si>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</si>
  <si>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</si>
  <si>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</si>
  <si>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</si>
  <si>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</si>
  <si>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</si>
  <si>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</si>
  <si>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</si>
  <si>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</si>
  <si>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</si>
  <si>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</si>
  <si>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</si>
  <si>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</si>
  <si>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</si>
  <si>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</si>
  <si>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</si>
  <si>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</si>
  <si>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</si>
  <si>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</si>
  <si>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</si>
  <si>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</si>
  <si>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</si>
  <si>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</si>
  <si>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</si>
  <si>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</si>
  <si>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</si>
  <si>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</si>
  <si>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</si>
  <si>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</si>
  <si>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</si>
  <si>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</si>
  <si>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</si>
  <si>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</si>
  <si>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</si>
  <si>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</si>
  <si>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</si>
  <si>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</si>
  <si>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</si>
  <si>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</si>
  <si>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</si>
  <si>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</si>
  <si>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</si>
  <si>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</si>
  <si>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</si>
  <si>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</si>
  <si>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</si>
  <si>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</si>
  <si>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</si>
  <si>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</si>
  <si>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</si>
  <si>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</si>
  <si>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</si>
  <si>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</si>
  <si>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</si>
  <si>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</si>
  <si>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</si>
  <si>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</si>
  <si>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</si>
  <si>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</si>
  <si>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</si>
  <si>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</si>
  <si>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</si>
  <si>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</si>
  <si>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</si>
  <si>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</si>
  <si>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</si>
  <si>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</si>
  <si>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</si>
  <si>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</si>
  <si>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</si>
  <si>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</si>
  <si>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</si>
  <si>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</si>
  <si>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</si>
  <si>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</si>
  <si>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</si>
  <si>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</si>
  <si>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</si>
  <si>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</si>
  <si>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</si>
  <si>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</si>
  <si>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</si>
  <si>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</si>
  <si>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</si>
  <si>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</si>
  <si>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</si>
  <si>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</si>
  <si>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</si>
  <si>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</si>
  <si>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</si>
  <si>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</si>
  <si>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</si>
  <si>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</si>
  <si>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</si>
  <si>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</si>
  <si>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</si>
  <si>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</si>
  <si>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</si>
  <si>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</si>
  <si>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</si>
  <si>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</si>
  <si>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</si>
  <si>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</si>
  <si>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</si>
  <si>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</si>
  <si>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</si>
  <si>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</si>
  <si>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</si>
  <si>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Guidance: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</si>
  <si>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</si>
  <si>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</si>
  <si>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</si>
  <si>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</si>
  <si>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</si>
  <si>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</si>
  <si>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</si>
  <si>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</si>
  <si>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</si>
  <si>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</si>
  <si>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</si>
  <si>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</si>
  <si>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</si>
  <si>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</si>
  <si>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</si>
  <si>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</si>
  <si>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</si>
  <si>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</si>
  <si>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</si>
  <si>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</si>
  <si>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</si>
  <si>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</si>
  <si>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</si>
  <si>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</si>
  <si>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</si>
  <si>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</si>
  <si>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</si>
  <si>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</si>
  <si>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</si>
  <si>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</si>
  <si>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</si>
  <si>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</si>
  <si>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</si>
  <si>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</si>
  <si>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</si>
  <si>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</si>
  <si>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</si>
  <si>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</si>
  <si>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</si>
  <si>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</si>
  <si>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</si>
  <si>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</si>
  <si>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</si>
  <si>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</si>
  <si>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</si>
  <si>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</si>
  <si>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</si>
  <si>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</si>
  <si>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</si>
  <si>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</si>
  <si>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</si>
  <si>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</si>
  <si>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</si>
  <si>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</si>
  <si>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</si>
  <si>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</si>
  <si>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</si>
  <si>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</si>
  <si>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</si>
  <si>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</si>
  <si>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</si>
  <si>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</si>
  <si>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</si>
  <si>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</si>
  <si>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</si>
  <si>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</si>
  <si>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</si>
  <si>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</si>
  <si>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</si>
  <si>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</si>
  <si>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</si>
  <si>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</si>
  <si>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</si>
  <si>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</si>
  <si>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</si>
  <si>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</si>
  <si>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</si>
  <si>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2023 COMPARISON</t>
  </si>
  <si>
    <t>FORECASTED</t>
  </si>
  <si>
    <t>REPORTED</t>
  </si>
  <si>
    <t>DIFFERENCE</t>
  </si>
  <si>
    <t>After carefully considering the forward-looking statements in the most recent annual report and the possibile risks Nike might have to face, including the opportunities lying ahead, there are no reasons for which the company's growth should stop if not for unusual events happening on a global scale. Also for this reason, Nike segments's growth has been forecasted on the average of the previous 5-7 years, however EXCLUDING 2020 and 2021 data, years where the growth pattern has been severely affected by the global pandemic and is not genuinely reflective of the company's health. Therefore, this forecast is not taking into account possible alterations of the global status quo. Currency impact has NOT been taken into account.</t>
  </si>
  <si>
    <t>2023 News</t>
  </si>
  <si>
    <t>NIKE Announces Senior Leadership Changes to Deepen Consumer-Led Growth and Marketplace Advantage</t>
  </si>
  <si>
    <t>Maria Henry to Join NIKE, Inc. Board of Directors</t>
  </si>
  <si>
    <t>For the full year we expect Fiscal ’24 reported revenue to grow mid-single digits</t>
  </si>
  <si>
    <t>https://s1.q4cdn.com/806093406/files/doc_financials/2023/q4/NIKE-Inc-Q4FY23-OFFICIAL-Transcript.pdf</t>
  </si>
  <si>
    <t xml:space="preserve">Nike is confident in its ability to set the pace in North America as it looks ahead. The company saw strong brand momentum across its portfolio, with a robust product pipeline, a healthy mix of inventory, and a normalizing supply chain. Additionally, Nike increased market share in performance and lifestyle, and digital continues to power growth, with traffic up double-digits and conversion rates expanding. </t>
  </si>
  <si>
    <t>Forecast based on 2015-2019 and 2022 average organic growth</t>
  </si>
  <si>
    <t>Forecasted EBIT+ Forecasted DA</t>
  </si>
  <si>
    <t>Forecast based on 2016-2019 and 2022 average growth %</t>
  </si>
  <si>
    <t>Nike is optimistic about its brand and business in China. The company's Q4 growth in China was 25%, with strong performance across different categories, including performance and lifestyle, men's, women's, and kids. Nike's formula of the best innovation combined with great local storytelling and the marketplace is connecting with Chinese consumers, particularly Gen Z. Nike plans to continue investing in China and is confident in its China for China strategy. The growing middle class, increased focus on health and wellness, and structural tailwinds in the region make Nike optimistic about its long-term prospects in China.</t>
  </si>
  <si>
    <t>Forecast based on 2017-2019 and 2022 average organic growth</t>
  </si>
  <si>
    <t>Forecast based on 2017-2019 and 2022 average growth %</t>
  </si>
  <si>
    <t>Forecast based on 2019-2022 average growth % (2020 and 2021 taken into account due to severe lack of data)</t>
  </si>
  <si>
    <t>Forecast based on 2018-2022 average growth % (2020 and 2021 taken into account due to severe lack of data)</t>
  </si>
  <si>
    <t>Nike increased market share in performance and lifestyle in EMEA, and digital continues to power growth, with traffic up double-digits and conversion rates expanding. Brick-and-mortar traffic in key countries also remains strong. Overall, Nike's complete offense strategy demonstrated strength in EMEA, and the company is optimistic about its ability to continue setting the pace in the region.</t>
  </si>
  <si>
    <t>Forecast based on 2016-2022 average growth % (2020 and 2021 taken into account due to particular trend observed)</t>
  </si>
  <si>
    <t>Nike's Q4 revenue in APLA grew 6%, including approximately 6 percentage points of a headwind due to the impact of the company's shift to a distributor model in Central and South America. The quarter highlighted Nike's balanced growth in the region, with Jordan Brand continuing its international expansion with strong double-digit growth, and strong growth in Women's lifestyle and Men's performance. Nike also achieved new milestones and opportunities in the region, including growing its business by over 40% in Southeast Asia and India, launching the Nike App in Korea, and introducing Nike's first direct digital footprint in India.</t>
  </si>
  <si>
    <t>Nike's influence is elevated by the strength of its portfolio of brands, including Nike, Jordan, and Converse. Jordan Brand had a record year, growing mid-30s with impressive growth across Men's, Women's, and Kids' footwear and apparel, and in both North America and international. Converse also had representation on the All-NBA First Team, with rising star Shai Gilgeous-Alexander. Nike, Jordan and Converse all chieved strong growth in FY23.</t>
  </si>
  <si>
    <t>Forecast based on 2016-2022 average growth %, removing highest and lowest value</t>
  </si>
  <si>
    <t>Forecast based on 2016-2019 and 2022 average growth</t>
  </si>
  <si>
    <t>Value NOT forecasted due to high unpredictability and misleading outcomes</t>
  </si>
  <si>
    <t>Discontinued Segments</t>
  </si>
  <si>
    <t>Cashflow</t>
  </si>
  <si>
    <t>Forecast based on 2015-2022 average (excluding highest and lowest value)</t>
  </si>
  <si>
    <t>from segmental forecast</t>
  </si>
  <si>
    <t>% of current liabilities</t>
  </si>
  <si>
    <t>Forecasted Net Income * Forecasted Payout Ratio</t>
  </si>
  <si>
    <t>Forecasted Dividend Paid / Diluted Number of Shares</t>
  </si>
  <si>
    <t>On March 11, 2022, the Company entered into a 364-day committed credit facility agreement with a syndicate of banks, which provides for up to $1 billion of borrowings, with an option to increase borrowings up to $1.5 billion in total with lender approval. The facility matures on March 10, 2023, with an option to extend the maturity date an additional 364 days. This facility replaces the prior $1 billion 364-day credit facility agreement entered into on March 15, 2021, which would have matured on March 14, 2022. Based on the Company's current long-term senior unsecured debt ratings of AA- and A1 from Standard and Poor's Corporation and Moody's Investor Services, respectively, the interest rate charged on any outstanding borrowings would be the prevailing Term Secured Overnight Financing Rate (Term SOFR) for the applicable interest period plus 0.60%. The facility fee is 0.02% of the total undrawn commitment. On March 11, 2022, the Company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 This facility replaces the prior $2 billion five-year credit facility agreement entered into on August 16, 2019, which would have matured on August 16, 2024.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t>
  </si>
  <si>
    <t>Forecasted Revenue x Forecasted % of revenue</t>
  </si>
  <si>
    <t>No forward-looking statement in the most recent reports suggests changes to the historical trend. Forecast based on previous years average</t>
  </si>
  <si>
    <t>% of revenue</t>
  </si>
  <si>
    <t>not forecasted</t>
  </si>
  <si>
    <t>Forecast based on average 2016 - 2022 % growth (exluding highest and lowest value)</t>
  </si>
  <si>
    <t>Forecast based on 2015-2022 average</t>
  </si>
  <si>
    <t>kept blank</t>
  </si>
  <si>
    <t>In June 2022, the Board of Directors authorized a new four-year, $18 billion program to repurchase shares of NIKE's Class B common stock. The Company's new program will replace the current $15 billion share repurchase program, which will be terminated in fiscal year 2023.</t>
  </si>
  <si>
    <t>Forecast Based on $18B buyback program and current price of $105 per share</t>
  </si>
  <si>
    <t>Forecast based on 2015-2022 average (excluding 2018 and 2020 unusual payout ratios)</t>
  </si>
  <si>
    <t>Forecast kept as 0</t>
  </si>
  <si>
    <t>As forecasted Income Tax Expense in Income Statement</t>
  </si>
  <si>
    <t>BALANCE SHEET</t>
  </si>
  <si>
    <t>used as balancing figure</t>
  </si>
  <si>
    <t>Previous year PPE + Forecasted Capex - Forecasted D&amp;A</t>
  </si>
  <si>
    <t>Opening Balance + Net Income - Dividends - Buybacks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</si>
</sst>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0000"/>
      <name val="Calibri"/>
      <family val="2"/>
      <scheme val="minor"/>
    </font>
    <font>
      <i/>
      <sz val="11"/>
      <color theme="1"/>
      <name val="Calibri"/>
      <family val="2"/>
      <scheme val="minor"/>
    </font>
    <font>
      <b/>
      <sz val="9"/>
      <color rgb="FF000000"/>
      <name val="Tahoma"/>
      <family val="2"/>
    </font>
    <font>
      <sz val="9"/>
      <color rgb="FF000000"/>
      <name val="Tahoma"/>
      <family val="2"/>
    </font>
    <font>
      <b/>
      <i/>
      <sz val="11"/>
      <color theme="1"/>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5"/>
        <bgColor indexed="64"/>
      </patternFill>
    </fill>
    <fill>
      <patternFill patternType="solid">
        <fgColor rgb="FFFFC0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5" fontId="0" fillId="0" borderId="0" xfId="0" applyNumberFormat="1"/>
    <xf numFmtId="0" fontId="7" fillId="2" borderId="0" xfId="0" applyFont="1" applyFill="1" applyAlignment="1">
      <alignment horizontal="center"/>
    </xf>
    <xf numFmtId="2" fontId="0" fillId="0" borderId="0" xfId="0" applyNumberFormat="1"/>
    <xf numFmtId="165" fontId="2" fillId="0" borderId="0" xfId="1" applyNumberFormat="1" applyFont="1" applyFill="1"/>
    <xf numFmtId="165" fontId="0" fillId="0" borderId="0" xfId="1" applyNumberFormat="1" applyFont="1" applyFill="1"/>
    <xf numFmtId="165" fontId="2" fillId="0" borderId="4" xfId="1" applyNumberFormat="1" applyFont="1" applyFill="1" applyBorder="1"/>
    <xf numFmtId="165" fontId="2" fillId="0" borderId="2" xfId="1" applyNumberFormat="1" applyFont="1" applyFill="1" applyBorder="1"/>
    <xf numFmtId="0" fontId="15"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0" fontId="0" fillId="0" borderId="0" xfId="0" applyAlignment="1">
      <alignment vertical="center" wrapText="1"/>
    </xf>
    <xf numFmtId="0" fontId="4" fillId="2" borderId="0" xfId="0" applyFont="1" applyFill="1" applyAlignment="1">
      <alignment horizontal="center" wrapText="1"/>
    </xf>
    <xf numFmtId="0" fontId="2" fillId="6" borderId="0" xfId="0" applyFont="1" applyFill="1" applyAlignment="1">
      <alignment horizontal="center"/>
    </xf>
    <xf numFmtId="0" fontId="18" fillId="0" borderId="0" xfId="0" applyFont="1" applyAlignment="1">
      <alignment horizontal="center" vertical="center" wrapText="1"/>
    </xf>
    <xf numFmtId="0" fontId="15" fillId="0" borderId="0" xfId="0" applyFont="1" applyAlignment="1">
      <alignment vertical="center" wrapText="1"/>
    </xf>
    <xf numFmtId="165" fontId="18" fillId="5" borderId="0" xfId="5" applyNumberFormat="1" applyFont="1"/>
    <xf numFmtId="165" fontId="11" fillId="0" borderId="0" xfId="1" applyNumberFormat="1" applyFont="1" applyFill="1" applyAlignment="1">
      <alignment horizontal="left" indent="1"/>
    </xf>
    <xf numFmtId="166" fontId="9" fillId="0" borderId="0" xfId="2" applyNumberFormat="1" applyFont="1" applyFill="1" applyAlignment="1">
      <alignment horizontal="right"/>
    </xf>
    <xf numFmtId="166" fontId="12" fillId="0" borderId="0" xfId="2" applyNumberFormat="1" applyFont="1" applyFill="1"/>
    <xf numFmtId="165" fontId="18" fillId="0" borderId="0" xfId="5" applyNumberFormat="1" applyFont="1" applyFill="1"/>
    <xf numFmtId="0" fontId="15" fillId="9" borderId="0" xfId="0" applyFont="1" applyFill="1"/>
    <xf numFmtId="165" fontId="11" fillId="0" borderId="0" xfId="1" applyNumberFormat="1" applyFont="1" applyFill="1" applyAlignment="1">
      <alignment horizontal="left"/>
    </xf>
    <xf numFmtId="166" fontId="11" fillId="0" borderId="0" xfId="2" applyNumberFormat="1" applyFont="1" applyFill="1" applyAlignment="1">
      <alignment horizontal="right"/>
    </xf>
    <xf numFmtId="164" fontId="14" fillId="0" borderId="0" xfId="1" applyFont="1" applyBorder="1"/>
    <xf numFmtId="165" fontId="5" fillId="0" borderId="0" xfId="1" applyNumberFormat="1" applyFont="1" applyFill="1" applyBorder="1"/>
    <xf numFmtId="165" fontId="0" fillId="9" borderId="0" xfId="1" applyNumberFormat="1" applyFont="1" applyFill="1"/>
    <xf numFmtId="0" fontId="15" fillId="9" borderId="0" xfId="0" applyFont="1" applyFill="1" applyAlignment="1">
      <alignment horizontal="center" vertical="center"/>
    </xf>
    <xf numFmtId="0" fontId="0" fillId="0" borderId="0" xfId="0" applyAlignment="1">
      <alignment vertical="center"/>
    </xf>
    <xf numFmtId="0" fontId="2" fillId="0" borderId="0" xfId="0" applyFont="1" applyAlignment="1">
      <alignment vertical="center"/>
    </xf>
    <xf numFmtId="0" fontId="15" fillId="0" borderId="0" xfId="0" applyFont="1" applyAlignment="1">
      <alignment vertical="center"/>
    </xf>
    <xf numFmtId="0" fontId="0" fillId="10" borderId="0" xfId="0" applyFill="1"/>
    <xf numFmtId="165" fontId="2" fillId="9" borderId="0" xfId="1" applyNumberFormat="1" applyFont="1" applyFill="1"/>
    <xf numFmtId="0" fontId="15" fillId="0" borderId="0" xfId="0" applyFont="1" applyAlignment="1">
      <alignment horizontal="center" vertical="center" wrapText="1"/>
    </xf>
    <xf numFmtId="0" fontId="15" fillId="9" borderId="0" xfId="0" applyFont="1" applyFill="1" applyAlignment="1">
      <alignment horizontal="center" vertical="center"/>
    </xf>
    <xf numFmtId="0" fontId="15" fillId="0" borderId="0" xfId="0" applyFont="1" applyAlignment="1">
      <alignment horizontal="center" vertical="center"/>
    </xf>
    <xf numFmtId="0" fontId="2" fillId="0" borderId="0" xfId="0" applyFont="1" applyAlignment="1">
      <alignment horizontal="left" vertical="center"/>
    </xf>
    <xf numFmtId="165" fontId="0" fillId="11" borderId="0" xfId="1" applyNumberFormat="1" applyFont="1" applyFill="1"/>
    <xf numFmtId="0" fontId="15" fillId="11" borderId="0" xfId="0" applyFont="1" applyFill="1" applyAlignment="1">
      <alignment horizontal="center" vertical="center"/>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s1.q4cdn.com/806093406/files/doc_financials/2023/q4/NIKE-Inc-Q4FY23-OFFICIAL-Transcrip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election activeCell="A19" sqref="A19"/>
    </sheetView>
  </sheetViews>
  <sheetFormatPr defaultRowHeight="14.5" x14ac:dyDescent="0.35"/>
  <cols>
    <col min="1" max="1" width="176.08984375" style="19" customWidth="1"/>
  </cols>
  <sheetData>
    <row r="1" spans="1:1" ht="23.5" x14ac:dyDescent="0.55000000000000004">
      <c r="A1" s="18" t="s">
        <v>20</v>
      </c>
    </row>
    <row r="2" spans="1:1" x14ac:dyDescent="0.35">
      <c r="A2" t="s">
        <v>209</v>
      </c>
    </row>
    <row r="3" spans="1:1" x14ac:dyDescent="0.35">
      <c r="A3" s="1" t="s">
        <v>141</v>
      </c>
    </row>
    <row r="4" spans="1:1" x14ac:dyDescent="0.35">
      <c r="A4" s="51" t="s">
        <v>208</v>
      </c>
    </row>
    <row r="5" spans="1:1" x14ac:dyDescent="0.35">
      <c r="A5" t="s">
        <v>202</v>
      </c>
    </row>
    <row r="6" spans="1:1" x14ac:dyDescent="0.35">
      <c r="A6" t="s">
        <v>203</v>
      </c>
    </row>
    <row r="7" spans="1:1" x14ac:dyDescent="0.35">
      <c r="A7" t="s">
        <v>206</v>
      </c>
    </row>
    <row r="8" spans="1:1" x14ac:dyDescent="0.35">
      <c r="A8"/>
    </row>
    <row r="9" spans="1:1" x14ac:dyDescent="0.35">
      <c r="A9" s="1" t="s">
        <v>189</v>
      </c>
    </row>
    <row r="10" spans="1:1" x14ac:dyDescent="0.35">
      <c r="A10" s="85" t="s">
        <v>190</v>
      </c>
    </row>
    <row r="11" spans="1:1" x14ac:dyDescent="0.35">
      <c r="A11" t="s">
        <v>191</v>
      </c>
    </row>
    <row r="12" spans="1:1" x14ac:dyDescent="0.35">
      <c r="A12" t="s">
        <v>192</v>
      </c>
    </row>
    <row r="13" spans="1:1" x14ac:dyDescent="0.35">
      <c r="A13" t="s">
        <v>193</v>
      </c>
    </row>
    <row r="14" spans="1:1" x14ac:dyDescent="0.35">
      <c r="A14" s="85" t="s">
        <v>204</v>
      </c>
    </row>
    <row r="15" spans="1:1" x14ac:dyDescent="0.35">
      <c r="A15" s="85" t="s">
        <v>194</v>
      </c>
    </row>
    <row r="16" spans="1:1" x14ac:dyDescent="0.35">
      <c r="A16" t="s">
        <v>195</v>
      </c>
    </row>
    <row r="17" spans="1:1" x14ac:dyDescent="0.35">
      <c r="A17" t="s">
        <v>196</v>
      </c>
    </row>
    <row r="18" spans="1:1" x14ac:dyDescent="0.35">
      <c r="A18" t="s">
        <v>197</v>
      </c>
    </row>
    <row r="19" spans="1:1" x14ac:dyDescent="0.35">
      <c r="A19" s="85" t="s">
        <v>198</v>
      </c>
    </row>
    <row r="20" spans="1:1" x14ac:dyDescent="0.35">
      <c r="A20" t="s">
        <v>199</v>
      </c>
    </row>
    <row r="21" spans="1:1" x14ac:dyDescent="0.35">
      <c r="A21" t="s">
        <v>200</v>
      </c>
    </row>
    <row r="22" spans="1:1" x14ac:dyDescent="0.35">
      <c r="A22" t="s">
        <v>201</v>
      </c>
    </row>
    <row r="23" spans="1:1" x14ac:dyDescent="0.35">
      <c r="A23"/>
    </row>
    <row r="24" spans="1:1" x14ac:dyDescent="0.35">
      <c r="A24" t="s">
        <v>210</v>
      </c>
    </row>
    <row r="26" spans="1:1" x14ac:dyDescent="0.35">
      <c r="A26" s="19"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5"/>
  <sheetViews>
    <sheetView workbookViewId="0">
      <pane ySplit="1" topLeftCell="A22" activePane="bottomLeft" state="frozen"/>
      <selection pane="bottomLeft" activeCell="J27" sqref="B27:J27"/>
    </sheetView>
  </sheetViews>
  <sheetFormatPr defaultRowHeight="14.5" x14ac:dyDescent="0.35"/>
  <cols>
    <col min="1" max="1" width="78.1796875" customWidth="1"/>
    <col min="2" max="7" width="9" bestFit="1" customWidth="1"/>
    <col min="8" max="8" width="10.453125" bestFit="1" customWidth="1"/>
    <col min="9" max="10" width="10.6328125" bestFit="1" customWidth="1"/>
  </cols>
  <sheetData>
    <row r="1" spans="1:10" ht="60" customHeight="1" x14ac:dyDescent="0.3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x14ac:dyDescent="0.35">
      <c r="A2" t="s">
        <v>27</v>
      </c>
      <c r="B2" s="3">
        <v>30601</v>
      </c>
      <c r="C2" s="3">
        <v>32376</v>
      </c>
      <c r="D2" s="3">
        <v>34350</v>
      </c>
      <c r="E2" s="3">
        <v>36397</v>
      </c>
      <c r="F2" s="3">
        <v>39117</v>
      </c>
      <c r="G2" s="3">
        <v>37403</v>
      </c>
      <c r="H2" s="3">
        <v>44538</v>
      </c>
      <c r="I2" s="3">
        <v>46710</v>
      </c>
      <c r="J2" s="3">
        <v>51217</v>
      </c>
    </row>
    <row r="3" spans="1:10" x14ac:dyDescent="0.35">
      <c r="A3" s="22" t="s">
        <v>28</v>
      </c>
      <c r="B3" s="23">
        <v>16534</v>
      </c>
      <c r="C3" s="23">
        <v>17405</v>
      </c>
      <c r="D3" s="23">
        <v>19038</v>
      </c>
      <c r="E3" s="23">
        <v>20441</v>
      </c>
      <c r="F3" s="23">
        <v>21643</v>
      </c>
      <c r="G3" s="23">
        <v>21162</v>
      </c>
      <c r="H3" s="23">
        <v>24576</v>
      </c>
      <c r="I3" s="23">
        <v>25231</v>
      </c>
      <c r="J3" s="23">
        <v>28925</v>
      </c>
    </row>
    <row r="4" spans="1:10"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v>22292</v>
      </c>
    </row>
    <row r="5" spans="1:10" x14ac:dyDescent="0.35">
      <c r="A5" s="11" t="s">
        <v>21</v>
      </c>
      <c r="B5" s="8">
        <v>3213</v>
      </c>
      <c r="C5" s="8">
        <v>3278</v>
      </c>
      <c r="D5" s="8">
        <v>3341</v>
      </c>
      <c r="E5" s="8">
        <v>3577</v>
      </c>
      <c r="F5" s="8">
        <v>3753</v>
      </c>
      <c r="G5" s="8">
        <v>3592</v>
      </c>
      <c r="H5" s="3">
        <v>3114</v>
      </c>
      <c r="I5" s="3">
        <v>3850</v>
      </c>
      <c r="J5" s="3">
        <v>4060</v>
      </c>
    </row>
    <row r="6" spans="1:10" x14ac:dyDescent="0.35">
      <c r="A6" s="11" t="s">
        <v>22</v>
      </c>
      <c r="B6" s="8">
        <v>6679</v>
      </c>
      <c r="C6" s="8">
        <v>7191</v>
      </c>
      <c r="D6" s="3">
        <v>7222</v>
      </c>
      <c r="E6" s="8">
        <v>7934</v>
      </c>
      <c r="F6" s="8">
        <v>8949</v>
      </c>
      <c r="G6" s="3">
        <v>9534</v>
      </c>
      <c r="H6" s="3">
        <v>9911</v>
      </c>
      <c r="I6" s="3">
        <v>10954</v>
      </c>
      <c r="J6" s="3">
        <v>12317</v>
      </c>
    </row>
    <row r="7" spans="1:10" x14ac:dyDescent="0.3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c r="J7" s="20">
        <f>+J5+J6</f>
        <v>16377</v>
      </c>
    </row>
    <row r="8" spans="1:10" x14ac:dyDescent="0.35">
      <c r="A8" s="2" t="s">
        <v>24</v>
      </c>
      <c r="B8" s="3">
        <v>28</v>
      </c>
      <c r="C8">
        <v>19</v>
      </c>
      <c r="D8">
        <v>59</v>
      </c>
      <c r="E8">
        <v>54</v>
      </c>
      <c r="F8">
        <v>49</v>
      </c>
      <c r="G8" s="3">
        <v>89</v>
      </c>
      <c r="H8" s="3">
        <v>262</v>
      </c>
      <c r="I8" s="3">
        <v>205</v>
      </c>
      <c r="J8" s="3">
        <v>-6</v>
      </c>
    </row>
    <row r="9" spans="1:10" x14ac:dyDescent="0.35">
      <c r="A9" s="2" t="s">
        <v>5</v>
      </c>
      <c r="B9" s="3">
        <v>-58</v>
      </c>
      <c r="C9" s="3">
        <v>-140</v>
      </c>
      <c r="D9" s="3">
        <v>-196</v>
      </c>
      <c r="E9" s="3">
        <v>66</v>
      </c>
      <c r="F9" s="3">
        <v>-78</v>
      </c>
      <c r="G9" s="3">
        <v>139</v>
      </c>
      <c r="H9" s="3">
        <v>14</v>
      </c>
      <c r="I9" s="3">
        <v>-181</v>
      </c>
      <c r="J9" s="3">
        <v>-280</v>
      </c>
    </row>
    <row r="10" spans="1:10" x14ac:dyDescent="0.3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J10" s="5">
        <f>+J4-J7-J8-J9</f>
        <v>6201</v>
      </c>
    </row>
    <row r="11" spans="1:10" x14ac:dyDescent="0.35">
      <c r="A11" s="2" t="s">
        <v>26</v>
      </c>
      <c r="B11" s="3">
        <v>932</v>
      </c>
      <c r="C11" s="3">
        <v>863</v>
      </c>
      <c r="D11" s="3">
        <v>646</v>
      </c>
      <c r="E11" s="3">
        <v>2392</v>
      </c>
      <c r="F11" s="3">
        <v>772</v>
      </c>
      <c r="G11" s="3">
        <v>348</v>
      </c>
      <c r="H11" s="3">
        <v>934</v>
      </c>
      <c r="I11" s="3">
        <v>605</v>
      </c>
      <c r="J11" s="3">
        <v>1131</v>
      </c>
    </row>
    <row r="12" spans="1:10" ht="15" thickBot="1" x14ac:dyDescent="0.4">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J12" s="7">
        <f>+J10-J11</f>
        <v>5070</v>
      </c>
    </row>
    <row r="13" spans="1:10" ht="15" thickTop="1" x14ac:dyDescent="0.35">
      <c r="A13" s="1" t="s">
        <v>8</v>
      </c>
    </row>
    <row r="14" spans="1:10" x14ac:dyDescent="0.35">
      <c r="A14" s="2" t="s">
        <v>6</v>
      </c>
      <c r="B14" s="54">
        <v>1.9</v>
      </c>
      <c r="C14">
        <v>2.21</v>
      </c>
      <c r="D14">
        <v>2.56</v>
      </c>
      <c r="E14">
        <v>1.19</v>
      </c>
      <c r="F14">
        <v>2.5499999999999998</v>
      </c>
      <c r="G14">
        <v>1.63</v>
      </c>
      <c r="H14">
        <v>3.64</v>
      </c>
      <c r="I14">
        <v>3.83</v>
      </c>
      <c r="J14">
        <v>3.27</v>
      </c>
    </row>
    <row r="15" spans="1:10" x14ac:dyDescent="0.35">
      <c r="A15" s="2" t="s">
        <v>7</v>
      </c>
      <c r="B15">
        <v>1.85</v>
      </c>
      <c r="C15">
        <v>2.16</v>
      </c>
      <c r="D15">
        <v>2.5099999999999998</v>
      </c>
      <c r="E15">
        <v>1.17</v>
      </c>
      <c r="F15">
        <v>2.4900000000000002</v>
      </c>
      <c r="G15" s="54">
        <v>1.6</v>
      </c>
      <c r="H15">
        <v>3.56</v>
      </c>
      <c r="I15">
        <v>3.75</v>
      </c>
      <c r="J15">
        <v>3.23</v>
      </c>
    </row>
    <row r="16" spans="1:10" x14ac:dyDescent="0.35">
      <c r="A16" s="1" t="s">
        <v>9</v>
      </c>
    </row>
    <row r="17" spans="1:10" x14ac:dyDescent="0.35">
      <c r="A17" s="2" t="s">
        <v>6</v>
      </c>
      <c r="B17" s="8">
        <v>1723.5</v>
      </c>
      <c r="C17" s="8">
        <v>1697.9</v>
      </c>
      <c r="D17" s="8">
        <v>1657.8</v>
      </c>
      <c r="E17" s="8">
        <v>1623.8</v>
      </c>
      <c r="F17" s="8">
        <v>1579.7</v>
      </c>
      <c r="G17" s="8">
        <v>1558.8</v>
      </c>
      <c r="H17" s="8">
        <v>1573</v>
      </c>
      <c r="I17" s="8">
        <v>1578.8</v>
      </c>
      <c r="J17" s="8">
        <v>1551.6</v>
      </c>
    </row>
    <row r="18" spans="1:10" x14ac:dyDescent="0.35">
      <c r="A18" s="2" t="s">
        <v>7</v>
      </c>
      <c r="B18" s="8">
        <v>1768.8</v>
      </c>
      <c r="C18" s="8">
        <v>1742.5</v>
      </c>
      <c r="D18" s="8">
        <v>1692</v>
      </c>
      <c r="E18" s="8">
        <v>1659.1</v>
      </c>
      <c r="F18" s="8">
        <v>1618.4</v>
      </c>
      <c r="G18" s="8">
        <v>1591.6</v>
      </c>
      <c r="H18" s="8">
        <v>1609.4</v>
      </c>
      <c r="I18" s="8">
        <v>1610.8</v>
      </c>
      <c r="J18" s="8">
        <v>1569.8</v>
      </c>
    </row>
    <row r="20" spans="1:10"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c r="J20" s="13">
        <f>+ROUND(((J12/J18)-J15),2)</f>
        <v>0</v>
      </c>
    </row>
    <row r="22" spans="1:10" x14ac:dyDescent="0.35">
      <c r="A22" s="14" t="s">
        <v>0</v>
      </c>
      <c r="B22" s="14"/>
      <c r="C22" s="14"/>
      <c r="D22" s="14"/>
      <c r="E22" s="14"/>
      <c r="F22" s="14"/>
      <c r="G22" s="14"/>
      <c r="H22" s="14"/>
      <c r="I22" s="14"/>
      <c r="J22" s="14"/>
    </row>
    <row r="23" spans="1:10" x14ac:dyDescent="0.35">
      <c r="A23" s="1" t="s">
        <v>30</v>
      </c>
    </row>
    <row r="24" spans="1:10" x14ac:dyDescent="0.35">
      <c r="A24" s="10" t="s">
        <v>31</v>
      </c>
      <c r="B24" s="3"/>
      <c r="C24" s="3"/>
      <c r="D24" s="3"/>
      <c r="E24" s="3"/>
      <c r="F24" s="3"/>
      <c r="G24" s="3"/>
      <c r="H24" s="3"/>
      <c r="I24" s="3"/>
      <c r="J24" s="3"/>
    </row>
    <row r="25" spans="1:10" x14ac:dyDescent="0.35">
      <c r="A25" s="11" t="s">
        <v>32</v>
      </c>
      <c r="B25" s="3">
        <v>3852</v>
      </c>
      <c r="C25" s="3">
        <v>3138</v>
      </c>
      <c r="D25" s="3">
        <v>3808</v>
      </c>
      <c r="E25" s="8">
        <v>4249</v>
      </c>
      <c r="F25" s="8">
        <v>4466</v>
      </c>
      <c r="G25" s="8">
        <v>8348</v>
      </c>
      <c r="H25" s="3">
        <v>9889</v>
      </c>
      <c r="I25" s="3">
        <v>8574</v>
      </c>
      <c r="J25" s="3">
        <v>7441</v>
      </c>
    </row>
    <row r="26" spans="1:10" x14ac:dyDescent="0.35">
      <c r="A26" s="11" t="s">
        <v>33</v>
      </c>
      <c r="B26" s="3">
        <v>2072</v>
      </c>
      <c r="C26" s="3">
        <v>2319</v>
      </c>
      <c r="D26" s="3">
        <v>2371</v>
      </c>
      <c r="E26">
        <v>996</v>
      </c>
      <c r="F26">
        <v>197</v>
      </c>
      <c r="G26" s="3">
        <v>439</v>
      </c>
      <c r="H26" s="3">
        <v>3587</v>
      </c>
      <c r="I26" s="3">
        <v>4423</v>
      </c>
      <c r="J26" s="3">
        <v>3234</v>
      </c>
    </row>
    <row r="27" spans="1:10" x14ac:dyDescent="0.35">
      <c r="A27" s="11" t="s">
        <v>34</v>
      </c>
      <c r="B27" s="3">
        <v>3358</v>
      </c>
      <c r="C27" s="3">
        <v>3241</v>
      </c>
      <c r="D27" s="3">
        <v>3677</v>
      </c>
      <c r="E27" s="8">
        <v>3498</v>
      </c>
      <c r="F27" s="8">
        <v>4272</v>
      </c>
      <c r="G27" s="8">
        <v>2749</v>
      </c>
      <c r="H27" s="3">
        <v>4463</v>
      </c>
      <c r="I27" s="3">
        <v>4667</v>
      </c>
      <c r="J27" s="3">
        <v>4131</v>
      </c>
    </row>
    <row r="28" spans="1:10" x14ac:dyDescent="0.35">
      <c r="A28" s="11" t="s">
        <v>35</v>
      </c>
      <c r="B28" s="3">
        <v>4337</v>
      </c>
      <c r="C28" s="3">
        <v>4838</v>
      </c>
      <c r="D28" s="3">
        <v>5055</v>
      </c>
      <c r="E28" s="8">
        <v>5261</v>
      </c>
      <c r="F28" s="8">
        <v>5622</v>
      </c>
      <c r="G28" s="8">
        <v>7367</v>
      </c>
      <c r="H28" s="3">
        <v>6854</v>
      </c>
      <c r="I28" s="3">
        <v>8420</v>
      </c>
      <c r="J28" s="3">
        <v>8454</v>
      </c>
    </row>
    <row r="29" spans="1:10" x14ac:dyDescent="0.35">
      <c r="A29" s="11" t="s">
        <v>36</v>
      </c>
      <c r="B29" s="3">
        <v>1968</v>
      </c>
      <c r="C29" s="3">
        <v>1489</v>
      </c>
      <c r="D29" s="3">
        <v>1150</v>
      </c>
      <c r="E29" s="8">
        <v>1130</v>
      </c>
      <c r="F29" s="8">
        <v>1968</v>
      </c>
      <c r="G29" s="8">
        <v>1653</v>
      </c>
      <c r="H29" s="3">
        <v>1498</v>
      </c>
      <c r="I29" s="3">
        <v>2129</v>
      </c>
      <c r="J29" s="3">
        <v>1942</v>
      </c>
    </row>
    <row r="30" spans="1:10"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c r="J30" s="5">
        <f>+SUM(J25:J29)</f>
        <v>25202</v>
      </c>
    </row>
    <row r="31" spans="1:10" x14ac:dyDescent="0.35">
      <c r="A31" s="2" t="s">
        <v>37</v>
      </c>
      <c r="B31" s="3">
        <v>3011</v>
      </c>
      <c r="C31" s="3">
        <v>3520</v>
      </c>
      <c r="D31" s="3">
        <v>3989</v>
      </c>
      <c r="E31" s="8">
        <v>4454</v>
      </c>
      <c r="F31" s="8">
        <v>4744</v>
      </c>
      <c r="G31" s="8">
        <v>4866</v>
      </c>
      <c r="H31" s="3">
        <v>4904</v>
      </c>
      <c r="I31" s="3">
        <v>4791</v>
      </c>
      <c r="J31" s="3">
        <v>5081</v>
      </c>
    </row>
    <row r="32" spans="1:10" x14ac:dyDescent="0.35">
      <c r="A32" s="2" t="s">
        <v>38</v>
      </c>
      <c r="B32" s="3">
        <v>0</v>
      </c>
      <c r="C32" s="3">
        <v>0</v>
      </c>
      <c r="D32" s="3">
        <v>0</v>
      </c>
      <c r="E32" s="3">
        <v>0</v>
      </c>
      <c r="F32" s="3">
        <v>0</v>
      </c>
      <c r="G32" s="8">
        <v>3097</v>
      </c>
      <c r="H32" s="3">
        <v>3113</v>
      </c>
      <c r="I32" s="3">
        <v>2926</v>
      </c>
      <c r="J32" s="3">
        <v>2923</v>
      </c>
    </row>
    <row r="33" spans="1:10" x14ac:dyDescent="0.35">
      <c r="A33" s="2" t="s">
        <v>39</v>
      </c>
      <c r="B33" s="3">
        <v>281</v>
      </c>
      <c r="C33" s="3">
        <v>281</v>
      </c>
      <c r="D33" s="3">
        <v>283</v>
      </c>
      <c r="E33">
        <v>285</v>
      </c>
      <c r="F33" s="3">
        <v>283</v>
      </c>
      <c r="G33" s="3">
        <v>274</v>
      </c>
      <c r="H33" s="3">
        <v>269</v>
      </c>
      <c r="I33" s="3">
        <v>286</v>
      </c>
      <c r="J33" s="3">
        <v>274</v>
      </c>
    </row>
    <row r="34" spans="1:10" x14ac:dyDescent="0.35">
      <c r="A34" s="2" t="s">
        <v>40</v>
      </c>
      <c r="B34" s="3">
        <v>131</v>
      </c>
      <c r="C34" s="3">
        <v>131</v>
      </c>
      <c r="D34" s="3">
        <v>139</v>
      </c>
      <c r="E34">
        <v>154</v>
      </c>
      <c r="F34" s="3">
        <v>154</v>
      </c>
      <c r="G34" s="3">
        <v>223</v>
      </c>
      <c r="H34" s="3">
        <v>242</v>
      </c>
      <c r="I34" s="3">
        <v>284</v>
      </c>
      <c r="J34" s="3">
        <v>281</v>
      </c>
    </row>
    <row r="35" spans="1:10" x14ac:dyDescent="0.35">
      <c r="A35" s="2" t="s">
        <v>41</v>
      </c>
      <c r="B35" s="3">
        <v>2587</v>
      </c>
      <c r="C35" s="3">
        <v>2439</v>
      </c>
      <c r="D35" s="3">
        <v>2787</v>
      </c>
      <c r="E35" s="8">
        <v>2509</v>
      </c>
      <c r="F35" s="3">
        <v>2011</v>
      </c>
      <c r="G35" s="3">
        <v>2326</v>
      </c>
      <c r="H35" s="3">
        <v>2921</v>
      </c>
      <c r="I35" s="3">
        <v>3821</v>
      </c>
      <c r="J35" s="3">
        <v>3770</v>
      </c>
    </row>
    <row r="36" spans="1:10" ht="15" thickBot="1" x14ac:dyDescent="0.4">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c r="J36" s="7">
        <f>+SUM(J30:J35)</f>
        <v>37531</v>
      </c>
    </row>
    <row r="37" spans="1:10" ht="15" thickTop="1" x14ac:dyDescent="0.35">
      <c r="A37" s="1" t="s">
        <v>43</v>
      </c>
      <c r="B37" s="3"/>
      <c r="C37" s="3"/>
      <c r="D37" s="3"/>
      <c r="E37" s="3"/>
      <c r="F37" s="3"/>
      <c r="G37" s="3"/>
      <c r="H37" s="3"/>
      <c r="I37" s="3"/>
      <c r="J37" s="3"/>
    </row>
    <row r="38" spans="1:10" x14ac:dyDescent="0.35">
      <c r="A38" s="2" t="s">
        <v>44</v>
      </c>
      <c r="B38" s="3"/>
      <c r="C38" s="3"/>
      <c r="D38" s="3"/>
      <c r="E38" s="3"/>
      <c r="F38" s="3"/>
      <c r="G38" s="3"/>
      <c r="H38" s="3"/>
      <c r="I38" s="3"/>
      <c r="J38" s="3"/>
    </row>
    <row r="39" spans="1:10" x14ac:dyDescent="0.35">
      <c r="A39" s="11" t="s">
        <v>45</v>
      </c>
      <c r="B39" s="3">
        <v>107</v>
      </c>
      <c r="C39" s="3">
        <v>44</v>
      </c>
      <c r="D39" s="3">
        <v>6</v>
      </c>
      <c r="E39" s="3">
        <v>6</v>
      </c>
      <c r="F39" s="3">
        <v>6</v>
      </c>
      <c r="G39" s="3">
        <v>3</v>
      </c>
      <c r="H39" s="3">
        <v>0</v>
      </c>
      <c r="I39" s="3">
        <v>500</v>
      </c>
      <c r="J39" s="3">
        <v>0</v>
      </c>
    </row>
    <row r="40" spans="1:10" x14ac:dyDescent="0.35">
      <c r="A40" s="11" t="s">
        <v>46</v>
      </c>
      <c r="B40" s="3">
        <v>74</v>
      </c>
      <c r="C40" s="3">
        <v>1</v>
      </c>
      <c r="D40" s="3">
        <v>325</v>
      </c>
      <c r="E40" s="3">
        <v>336</v>
      </c>
      <c r="F40" s="3">
        <v>9</v>
      </c>
      <c r="G40" s="3">
        <v>248</v>
      </c>
      <c r="H40" s="3">
        <v>2</v>
      </c>
      <c r="I40" s="3">
        <v>10</v>
      </c>
      <c r="J40" s="3">
        <v>6</v>
      </c>
    </row>
    <row r="41" spans="1:10" x14ac:dyDescent="0.35">
      <c r="A41" s="11" t="s">
        <v>11</v>
      </c>
      <c r="B41" s="3">
        <v>2131</v>
      </c>
      <c r="C41" s="3">
        <v>2191</v>
      </c>
      <c r="D41" s="3">
        <v>2048</v>
      </c>
      <c r="E41" s="3">
        <v>2279</v>
      </c>
      <c r="F41" s="3">
        <v>2612</v>
      </c>
      <c r="G41" s="3">
        <v>2248</v>
      </c>
      <c r="H41" s="3">
        <v>2836</v>
      </c>
      <c r="I41" s="3">
        <v>3358</v>
      </c>
      <c r="J41" s="3">
        <v>2862</v>
      </c>
    </row>
    <row r="42" spans="1:10" x14ac:dyDescent="0.35">
      <c r="A42" s="11" t="s">
        <v>47</v>
      </c>
      <c r="B42" s="3">
        <v>0</v>
      </c>
      <c r="C42" s="3">
        <v>0</v>
      </c>
      <c r="D42" s="3">
        <v>0</v>
      </c>
      <c r="E42" s="3">
        <v>0</v>
      </c>
      <c r="F42" s="3">
        <v>0</v>
      </c>
      <c r="G42" s="3">
        <v>445</v>
      </c>
      <c r="H42" s="3">
        <v>467</v>
      </c>
      <c r="I42" s="3">
        <v>420</v>
      </c>
      <c r="J42" s="3">
        <v>425</v>
      </c>
    </row>
    <row r="43" spans="1:10" x14ac:dyDescent="0.35">
      <c r="A43" s="11" t="s">
        <v>12</v>
      </c>
      <c r="B43" s="3">
        <v>3949</v>
      </c>
      <c r="C43" s="3">
        <v>3037</v>
      </c>
      <c r="D43" s="3">
        <v>3011</v>
      </c>
      <c r="E43" s="3">
        <v>3269</v>
      </c>
      <c r="F43" s="3">
        <v>5010</v>
      </c>
      <c r="G43" s="3">
        <v>5184</v>
      </c>
      <c r="H43" s="3">
        <v>6063</v>
      </c>
      <c r="I43" s="3">
        <v>6220</v>
      </c>
      <c r="J43" s="3">
        <v>5723</v>
      </c>
    </row>
    <row r="44" spans="1:10" x14ac:dyDescent="0.35">
      <c r="A44" s="11" t="s">
        <v>48</v>
      </c>
      <c r="B44" s="3">
        <v>71</v>
      </c>
      <c r="C44" s="3">
        <v>85</v>
      </c>
      <c r="D44" s="3">
        <v>84</v>
      </c>
      <c r="E44" s="3">
        <v>150</v>
      </c>
      <c r="F44" s="3">
        <v>229</v>
      </c>
      <c r="G44" s="3">
        <v>156</v>
      </c>
      <c r="H44" s="3">
        <v>306</v>
      </c>
      <c r="I44" s="3">
        <v>222</v>
      </c>
      <c r="J44" s="3">
        <v>240</v>
      </c>
    </row>
    <row r="45" spans="1:10"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c r="J45" s="5">
        <f>+SUM(J39:J44)</f>
        <v>9256</v>
      </c>
    </row>
    <row r="46" spans="1:10" x14ac:dyDescent="0.35">
      <c r="A46" s="2" t="s">
        <v>49</v>
      </c>
      <c r="B46" s="3">
        <v>1079</v>
      </c>
      <c r="C46" s="3">
        <v>2010</v>
      </c>
      <c r="D46" s="3">
        <v>3471</v>
      </c>
      <c r="E46" s="3">
        <v>3468</v>
      </c>
      <c r="F46" s="3">
        <v>3464</v>
      </c>
      <c r="G46" s="3">
        <v>9406</v>
      </c>
      <c r="H46" s="3">
        <v>9413</v>
      </c>
      <c r="I46" s="3">
        <v>8920</v>
      </c>
      <c r="J46" s="3">
        <v>8927</v>
      </c>
    </row>
    <row r="47" spans="1:10" x14ac:dyDescent="0.35">
      <c r="A47" s="2" t="s">
        <v>50</v>
      </c>
      <c r="B47" s="3">
        <v>0</v>
      </c>
      <c r="C47" s="3">
        <v>0</v>
      </c>
      <c r="D47" s="3">
        <v>0</v>
      </c>
      <c r="E47" s="3">
        <v>0</v>
      </c>
      <c r="F47" s="3">
        <v>0</v>
      </c>
      <c r="G47" s="3">
        <v>2913</v>
      </c>
      <c r="H47" s="3">
        <v>2931</v>
      </c>
      <c r="I47" s="3">
        <v>2777</v>
      </c>
      <c r="J47" s="3">
        <v>2786</v>
      </c>
    </row>
    <row r="48" spans="1:10" x14ac:dyDescent="0.35">
      <c r="A48" s="2" t="s">
        <v>51</v>
      </c>
      <c r="B48" s="3">
        <v>1479</v>
      </c>
      <c r="C48" s="3">
        <v>1770</v>
      </c>
      <c r="D48" s="3">
        <v>1907</v>
      </c>
      <c r="E48" s="3">
        <v>3216</v>
      </c>
      <c r="F48" s="3">
        <v>3347</v>
      </c>
      <c r="G48" s="3">
        <v>2684</v>
      </c>
      <c r="H48" s="3">
        <v>2955</v>
      </c>
      <c r="I48" s="3">
        <v>2613</v>
      </c>
      <c r="J48" s="3">
        <v>2558</v>
      </c>
    </row>
    <row r="49" spans="1:10" x14ac:dyDescent="0.35">
      <c r="A49" s="2" t="s">
        <v>52</v>
      </c>
      <c r="B49" s="3"/>
      <c r="C49" s="3"/>
      <c r="D49" s="3"/>
      <c r="E49" s="3"/>
      <c r="F49" s="3"/>
      <c r="G49" s="3"/>
      <c r="H49" s="3"/>
      <c r="I49" s="3"/>
      <c r="J49" s="3"/>
    </row>
    <row r="50" spans="1:10" x14ac:dyDescent="0.35">
      <c r="A50" s="11" t="s">
        <v>53</v>
      </c>
      <c r="B50" s="3">
        <v>0</v>
      </c>
      <c r="C50" s="3">
        <v>0</v>
      </c>
      <c r="D50" s="3">
        <v>0</v>
      </c>
      <c r="E50" s="3">
        <v>0</v>
      </c>
      <c r="F50" s="3">
        <v>0</v>
      </c>
      <c r="G50" s="3">
        <v>0</v>
      </c>
      <c r="H50" s="3">
        <v>0</v>
      </c>
      <c r="I50" s="3">
        <v>0</v>
      </c>
      <c r="J50" s="3">
        <v>0</v>
      </c>
    </row>
    <row r="51" spans="1:10" x14ac:dyDescent="0.35">
      <c r="A51" s="2" t="s">
        <v>54</v>
      </c>
      <c r="B51" s="3"/>
      <c r="C51" s="3"/>
      <c r="D51" s="3"/>
      <c r="E51" s="3"/>
      <c r="F51" s="3"/>
      <c r="G51" s="3"/>
      <c r="H51" s="3"/>
      <c r="I51" s="3"/>
      <c r="J51" s="3"/>
    </row>
    <row r="52" spans="1:10" x14ac:dyDescent="0.35">
      <c r="A52" s="11" t="s">
        <v>55</v>
      </c>
      <c r="B52" s="3"/>
      <c r="C52" s="3"/>
      <c r="D52" s="3"/>
      <c r="E52" s="3"/>
      <c r="F52" s="3"/>
      <c r="G52" s="3"/>
      <c r="H52" s="3"/>
      <c r="I52" s="3"/>
      <c r="J52" s="3"/>
    </row>
    <row r="53" spans="1:10" x14ac:dyDescent="0.35">
      <c r="A53" s="17" t="s">
        <v>56</v>
      </c>
      <c r="B53" s="3"/>
      <c r="C53" s="3"/>
      <c r="D53" s="3"/>
      <c r="E53" s="3"/>
      <c r="F53" s="3"/>
      <c r="G53" s="3"/>
      <c r="H53" s="3"/>
      <c r="I53" s="3"/>
      <c r="J53" s="3"/>
    </row>
    <row r="54" spans="1:10" x14ac:dyDescent="0.35">
      <c r="A54" s="17" t="s">
        <v>57</v>
      </c>
      <c r="B54" s="3">
        <v>3</v>
      </c>
      <c r="C54" s="3">
        <v>3</v>
      </c>
      <c r="D54" s="3">
        <v>3</v>
      </c>
      <c r="E54" s="3">
        <v>3</v>
      </c>
      <c r="F54" s="3">
        <v>3</v>
      </c>
      <c r="G54" s="3">
        <v>3</v>
      </c>
      <c r="H54" s="3">
        <v>3</v>
      </c>
      <c r="I54" s="3">
        <v>3</v>
      </c>
      <c r="J54" s="3">
        <v>3</v>
      </c>
    </row>
    <row r="55" spans="1:10" x14ac:dyDescent="0.35">
      <c r="A55" s="17" t="s">
        <v>58</v>
      </c>
      <c r="B55" s="3">
        <v>6773</v>
      </c>
      <c r="C55" s="3">
        <v>7786</v>
      </c>
      <c r="D55" s="3">
        <v>5710</v>
      </c>
      <c r="E55" s="3">
        <v>6384</v>
      </c>
      <c r="F55" s="3">
        <v>7163</v>
      </c>
      <c r="G55" s="3">
        <v>8299</v>
      </c>
      <c r="H55" s="3">
        <v>9965</v>
      </c>
      <c r="I55" s="3">
        <v>11484</v>
      </c>
      <c r="J55" s="3">
        <v>12412</v>
      </c>
    </row>
    <row r="56" spans="1:10" x14ac:dyDescent="0.35">
      <c r="A56" s="17" t="s">
        <v>59</v>
      </c>
      <c r="B56" s="3">
        <v>1246</v>
      </c>
      <c r="C56" s="3">
        <v>318</v>
      </c>
      <c r="D56" s="3">
        <v>-213</v>
      </c>
      <c r="E56" s="3">
        <v>-92</v>
      </c>
      <c r="F56" s="3">
        <v>231</v>
      </c>
      <c r="G56" s="3">
        <v>-56</v>
      </c>
      <c r="H56" s="3">
        <v>-380</v>
      </c>
      <c r="I56" s="3">
        <v>318</v>
      </c>
      <c r="J56" s="3">
        <v>231</v>
      </c>
    </row>
    <row r="57" spans="1:10" x14ac:dyDescent="0.35">
      <c r="A57" s="17" t="s">
        <v>60</v>
      </c>
      <c r="B57" s="3">
        <v>4685</v>
      </c>
      <c r="C57" s="3">
        <v>4151</v>
      </c>
      <c r="D57" s="3">
        <v>6907</v>
      </c>
      <c r="E57" s="3">
        <v>3517</v>
      </c>
      <c r="F57" s="3">
        <v>1643</v>
      </c>
      <c r="G57" s="3">
        <v>-191</v>
      </c>
      <c r="H57" s="3">
        <v>3179</v>
      </c>
      <c r="I57" s="3">
        <v>3476</v>
      </c>
      <c r="J57" s="3">
        <v>1358</v>
      </c>
    </row>
    <row r="58" spans="1:10" x14ac:dyDescent="0.3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c r="J58" s="5">
        <f>+SUM(J53:J57)</f>
        <v>14004</v>
      </c>
    </row>
    <row r="59" spans="1:10" ht="15" thickBot="1" x14ac:dyDescent="0.4">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c r="J59" s="7">
        <f>+SUM(J45:J50)+J58</f>
        <v>37531</v>
      </c>
    </row>
    <row r="60" spans="1:10"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c r="J60" s="13">
        <f>+J59-J36</f>
        <v>0</v>
      </c>
    </row>
    <row r="61" spans="1:10" x14ac:dyDescent="0.35">
      <c r="A61" s="14" t="s">
        <v>1</v>
      </c>
      <c r="B61" s="14"/>
      <c r="C61" s="14"/>
      <c r="D61" s="14"/>
      <c r="E61" s="14"/>
      <c r="F61" s="14"/>
      <c r="G61" s="14"/>
      <c r="H61" s="14"/>
      <c r="I61" s="14"/>
      <c r="J61" s="14"/>
    </row>
    <row r="62" spans="1:10" x14ac:dyDescent="0.35">
      <c r="A62" t="s">
        <v>15</v>
      </c>
    </row>
    <row r="63" spans="1:10" x14ac:dyDescent="0.35">
      <c r="A63" s="1" t="s">
        <v>63</v>
      </c>
    </row>
    <row r="64" spans="1:10" s="1" customFormat="1" x14ac:dyDescent="0.35">
      <c r="A64" s="10" t="s">
        <v>64</v>
      </c>
      <c r="B64" s="55">
        <f t="shared" ref="B64:H64" si="12">+B12</f>
        <v>3273</v>
      </c>
      <c r="C64" s="55">
        <f t="shared" si="12"/>
        <v>3760</v>
      </c>
      <c r="D64" s="55">
        <f t="shared" si="12"/>
        <v>4240</v>
      </c>
      <c r="E64" s="55">
        <f t="shared" si="12"/>
        <v>1933</v>
      </c>
      <c r="F64" s="55">
        <f t="shared" si="12"/>
        <v>4029</v>
      </c>
      <c r="G64" s="55">
        <f t="shared" si="12"/>
        <v>2539</v>
      </c>
      <c r="H64" s="55">
        <f t="shared" si="12"/>
        <v>5727</v>
      </c>
      <c r="I64" s="55">
        <f>+I12</f>
        <v>6046</v>
      </c>
      <c r="J64" s="55">
        <v>5070</v>
      </c>
    </row>
    <row r="65" spans="1:10" s="1" customFormat="1" x14ac:dyDescent="0.35">
      <c r="A65" s="2" t="s">
        <v>65</v>
      </c>
      <c r="B65" s="56"/>
      <c r="C65" s="56"/>
      <c r="D65" s="56"/>
      <c r="E65" s="56"/>
      <c r="F65" s="56"/>
      <c r="G65" s="56"/>
      <c r="H65" s="56"/>
      <c r="I65" s="56"/>
      <c r="J65" s="56"/>
    </row>
    <row r="66" spans="1:10" x14ac:dyDescent="0.35">
      <c r="A66" s="11" t="s">
        <v>66</v>
      </c>
      <c r="B66" s="56">
        <v>606</v>
      </c>
      <c r="C66" s="56">
        <v>649</v>
      </c>
      <c r="D66" s="56">
        <v>706</v>
      </c>
      <c r="E66" s="56">
        <v>747</v>
      </c>
      <c r="F66" s="56">
        <v>705</v>
      </c>
      <c r="G66" s="56">
        <v>721</v>
      </c>
      <c r="H66" s="56">
        <v>744</v>
      </c>
      <c r="I66" s="56">
        <v>717</v>
      </c>
      <c r="J66" s="56">
        <v>703</v>
      </c>
    </row>
    <row r="67" spans="1:10" x14ac:dyDescent="0.35">
      <c r="A67" s="11" t="s">
        <v>67</v>
      </c>
      <c r="B67" s="56">
        <v>-113</v>
      </c>
      <c r="C67" s="56">
        <v>-80</v>
      </c>
      <c r="D67" s="56">
        <v>-273</v>
      </c>
      <c r="E67" s="56">
        <v>647</v>
      </c>
      <c r="F67" s="56">
        <v>34</v>
      </c>
      <c r="G67" s="56">
        <v>-380</v>
      </c>
      <c r="H67" s="56">
        <v>-385</v>
      </c>
      <c r="I67" s="56">
        <v>-650</v>
      </c>
      <c r="J67" s="56">
        <v>-117</v>
      </c>
    </row>
    <row r="68" spans="1:10" x14ac:dyDescent="0.35">
      <c r="A68" s="11" t="s">
        <v>68</v>
      </c>
      <c r="B68" s="56">
        <v>191</v>
      </c>
      <c r="C68" s="56">
        <v>236</v>
      </c>
      <c r="D68" s="56">
        <v>215</v>
      </c>
      <c r="E68" s="56">
        <v>218</v>
      </c>
      <c r="F68" s="56">
        <v>325</v>
      </c>
      <c r="G68" s="56">
        <v>429</v>
      </c>
      <c r="H68" s="56">
        <v>611</v>
      </c>
      <c r="I68" s="56">
        <v>638</v>
      </c>
      <c r="J68" s="56">
        <v>755</v>
      </c>
    </row>
    <row r="69" spans="1:10" x14ac:dyDescent="0.35">
      <c r="A69" s="11" t="s">
        <v>69</v>
      </c>
      <c r="B69" s="56">
        <v>43</v>
      </c>
      <c r="C69" s="56">
        <v>13</v>
      </c>
      <c r="D69" s="56">
        <v>10</v>
      </c>
      <c r="E69" s="56">
        <v>27</v>
      </c>
      <c r="F69" s="56">
        <v>15</v>
      </c>
      <c r="G69" s="56">
        <v>398</v>
      </c>
      <c r="H69" s="56">
        <v>53</v>
      </c>
      <c r="I69" s="56">
        <v>123</v>
      </c>
      <c r="J69" s="56">
        <v>156</v>
      </c>
    </row>
    <row r="70" spans="1:10" x14ac:dyDescent="0.35">
      <c r="A70" s="11" t="s">
        <v>70</v>
      </c>
      <c r="B70" s="56">
        <v>424</v>
      </c>
      <c r="C70" s="56">
        <v>98</v>
      </c>
      <c r="D70" s="56">
        <v>-117</v>
      </c>
      <c r="E70" s="56">
        <v>-99</v>
      </c>
      <c r="F70" s="56">
        <v>233</v>
      </c>
      <c r="G70" s="56">
        <v>23</v>
      </c>
      <c r="H70" s="56">
        <v>-138</v>
      </c>
      <c r="I70" s="56">
        <v>-26</v>
      </c>
      <c r="J70" s="56">
        <v>-213</v>
      </c>
    </row>
    <row r="71" spans="1:10" x14ac:dyDescent="0.35">
      <c r="A71" s="2" t="s">
        <v>71</v>
      </c>
      <c r="B71" s="56"/>
      <c r="C71" s="56"/>
      <c r="D71" s="56"/>
      <c r="E71" s="56"/>
      <c r="F71" s="56"/>
      <c r="G71" s="56"/>
      <c r="H71" s="56"/>
      <c r="I71" s="56"/>
      <c r="J71" s="56"/>
    </row>
    <row r="72" spans="1:10" x14ac:dyDescent="0.35">
      <c r="A72" s="11" t="s">
        <v>72</v>
      </c>
      <c r="B72" s="56">
        <v>-216</v>
      </c>
      <c r="C72" s="56">
        <v>60</v>
      </c>
      <c r="D72" s="56">
        <v>-426</v>
      </c>
      <c r="E72" s="56">
        <v>187</v>
      </c>
      <c r="F72" s="56">
        <v>-270</v>
      </c>
      <c r="G72" s="56">
        <v>1239</v>
      </c>
      <c r="H72" s="56">
        <v>-1606</v>
      </c>
      <c r="I72" s="56">
        <v>-504</v>
      </c>
      <c r="J72" s="56">
        <v>489</v>
      </c>
    </row>
    <row r="73" spans="1:10" x14ac:dyDescent="0.35">
      <c r="A73" s="11" t="s">
        <v>73</v>
      </c>
      <c r="B73" s="56">
        <v>-621</v>
      </c>
      <c r="C73" s="56">
        <v>-590</v>
      </c>
      <c r="D73" s="56">
        <v>-231</v>
      </c>
      <c r="E73" s="56">
        <v>-255</v>
      </c>
      <c r="F73" s="56">
        <v>-490</v>
      </c>
      <c r="G73" s="56">
        <v>-1854</v>
      </c>
      <c r="H73" s="56">
        <v>507</v>
      </c>
      <c r="I73" s="56">
        <v>-1676</v>
      </c>
      <c r="J73" s="56">
        <v>-133</v>
      </c>
    </row>
    <row r="74" spans="1:10" x14ac:dyDescent="0.35">
      <c r="A74" s="11" t="s">
        <v>97</v>
      </c>
      <c r="B74" s="56">
        <v>-144</v>
      </c>
      <c r="C74" s="56">
        <v>-161</v>
      </c>
      <c r="D74" s="56">
        <v>-120</v>
      </c>
      <c r="E74" s="56">
        <v>35</v>
      </c>
      <c r="F74" s="56">
        <v>-203</v>
      </c>
      <c r="G74" s="56">
        <v>-654</v>
      </c>
      <c r="H74" s="56">
        <v>-182</v>
      </c>
      <c r="I74" s="56">
        <v>-845</v>
      </c>
      <c r="J74" s="56">
        <v>-644</v>
      </c>
    </row>
    <row r="75" spans="1:10" x14ac:dyDescent="0.35">
      <c r="A75" s="11" t="s">
        <v>96</v>
      </c>
      <c r="B75" s="56">
        <v>1237</v>
      </c>
      <c r="C75" s="56">
        <v>-586</v>
      </c>
      <c r="D75" s="56">
        <v>-158</v>
      </c>
      <c r="E75" s="56">
        <v>1515</v>
      </c>
      <c r="F75" s="56">
        <v>1525</v>
      </c>
      <c r="G75" s="56">
        <v>24</v>
      </c>
      <c r="H75" s="56">
        <v>1326</v>
      </c>
      <c r="I75" s="56">
        <v>1365</v>
      </c>
      <c r="J75" s="56">
        <v>-225</v>
      </c>
    </row>
    <row r="76" spans="1:10" x14ac:dyDescent="0.35">
      <c r="A76" s="24" t="s">
        <v>74</v>
      </c>
      <c r="B76" s="57">
        <f>+SUM(B64:B75)</f>
        <v>4680</v>
      </c>
      <c r="C76" s="57">
        <f t="shared" ref="C76:H76" si="13">+SUM(C64:C75)</f>
        <v>3399</v>
      </c>
      <c r="D76" s="57">
        <f t="shared" si="13"/>
        <v>3846</v>
      </c>
      <c r="E76" s="57">
        <f t="shared" si="13"/>
        <v>4955</v>
      </c>
      <c r="F76" s="57">
        <f t="shared" si="13"/>
        <v>5903</v>
      </c>
      <c r="G76" s="57">
        <f t="shared" si="13"/>
        <v>2485</v>
      </c>
      <c r="H76" s="57">
        <f t="shared" si="13"/>
        <v>6657</v>
      </c>
      <c r="I76" s="57">
        <f>+SUM(I64:I75)</f>
        <v>5188</v>
      </c>
      <c r="J76" s="57">
        <f>+SUM(J64:J75)</f>
        <v>5841</v>
      </c>
    </row>
    <row r="77" spans="1:10" x14ac:dyDescent="0.35">
      <c r="A77" s="1" t="s">
        <v>75</v>
      </c>
      <c r="B77" s="56"/>
      <c r="C77" s="56"/>
      <c r="D77" s="56"/>
      <c r="E77" s="56"/>
      <c r="F77" s="56"/>
      <c r="G77" s="56"/>
      <c r="H77" s="56"/>
      <c r="I77" s="56"/>
      <c r="J77" s="56"/>
    </row>
    <row r="78" spans="1:10" x14ac:dyDescent="0.35">
      <c r="A78" s="2" t="s">
        <v>76</v>
      </c>
      <c r="B78" s="56">
        <v>-4936</v>
      </c>
      <c r="C78" s="56">
        <v>-5367</v>
      </c>
      <c r="D78" s="56">
        <v>-5928</v>
      </c>
      <c r="E78" s="56">
        <v>-4783</v>
      </c>
      <c r="F78" s="56">
        <v>-2937</v>
      </c>
      <c r="G78" s="56">
        <v>-2426</v>
      </c>
      <c r="H78" s="56">
        <v>-9961</v>
      </c>
      <c r="I78" s="56">
        <v>-12913</v>
      </c>
      <c r="J78" s="56">
        <v>-6059</v>
      </c>
    </row>
    <row r="79" spans="1:10" x14ac:dyDescent="0.35">
      <c r="A79" s="2" t="s">
        <v>77</v>
      </c>
      <c r="B79" s="56">
        <v>3655</v>
      </c>
      <c r="C79" s="56">
        <v>2924</v>
      </c>
      <c r="D79" s="56">
        <v>3623</v>
      </c>
      <c r="E79" s="56">
        <v>3613</v>
      </c>
      <c r="F79" s="56">
        <v>1715</v>
      </c>
      <c r="G79" s="56">
        <v>74</v>
      </c>
      <c r="H79" s="56">
        <v>4236</v>
      </c>
      <c r="I79" s="56">
        <v>8199</v>
      </c>
      <c r="J79" s="56">
        <v>3356</v>
      </c>
    </row>
    <row r="80" spans="1:10" x14ac:dyDescent="0.35">
      <c r="A80" s="2" t="s">
        <v>78</v>
      </c>
      <c r="B80" s="56">
        <v>2216</v>
      </c>
      <c r="C80" s="56">
        <v>2386</v>
      </c>
      <c r="D80" s="56">
        <v>2423</v>
      </c>
      <c r="E80" s="56">
        <v>2496</v>
      </c>
      <c r="F80" s="56">
        <v>2072</v>
      </c>
      <c r="G80" s="56">
        <v>2379</v>
      </c>
      <c r="H80" s="56">
        <v>2449</v>
      </c>
      <c r="I80" s="56">
        <v>3967</v>
      </c>
      <c r="J80" s="56">
        <v>4184</v>
      </c>
    </row>
    <row r="81" spans="1:10" x14ac:dyDescent="0.35">
      <c r="A81" s="2" t="s">
        <v>211</v>
      </c>
      <c r="B81" s="56">
        <v>-150</v>
      </c>
      <c r="C81" s="56">
        <v>150</v>
      </c>
      <c r="D81" s="56">
        <v>0</v>
      </c>
      <c r="E81" s="56">
        <v>0</v>
      </c>
      <c r="F81" s="56">
        <v>0</v>
      </c>
      <c r="G81" s="56">
        <v>0</v>
      </c>
      <c r="H81" s="56">
        <v>0</v>
      </c>
      <c r="I81" s="56">
        <v>0</v>
      </c>
      <c r="J81" s="56"/>
    </row>
    <row r="82" spans="1:10" x14ac:dyDescent="0.35">
      <c r="A82" s="2" t="s">
        <v>14</v>
      </c>
      <c r="B82" s="56">
        <v>-963</v>
      </c>
      <c r="C82" s="56">
        <v>-1143</v>
      </c>
      <c r="D82" s="56">
        <v>-1105</v>
      </c>
      <c r="E82" s="56">
        <v>-1028</v>
      </c>
      <c r="F82" s="56">
        <v>-1119</v>
      </c>
      <c r="G82" s="56">
        <v>-1086</v>
      </c>
      <c r="H82" s="56">
        <v>-695</v>
      </c>
      <c r="I82" s="56">
        <v>-758</v>
      </c>
      <c r="J82" s="56">
        <v>-969</v>
      </c>
    </row>
    <row r="83" spans="1:10" x14ac:dyDescent="0.35">
      <c r="A83" s="2" t="s">
        <v>212</v>
      </c>
      <c r="B83" s="56">
        <v>3</v>
      </c>
      <c r="C83" s="56">
        <v>10</v>
      </c>
      <c r="D83" s="56">
        <v>13</v>
      </c>
      <c r="E83" s="56">
        <v>3</v>
      </c>
      <c r="F83" s="56">
        <v>0</v>
      </c>
      <c r="G83" s="56">
        <v>0</v>
      </c>
      <c r="H83" s="56">
        <v>0</v>
      </c>
      <c r="I83" s="56">
        <v>0</v>
      </c>
      <c r="J83" s="56"/>
    </row>
    <row r="84" spans="1:10" x14ac:dyDescent="0.35">
      <c r="A84" s="2" t="s">
        <v>79</v>
      </c>
      <c r="B84" s="56">
        <v>0</v>
      </c>
      <c r="C84" s="56">
        <v>6</v>
      </c>
      <c r="D84" s="56">
        <v>-34</v>
      </c>
      <c r="E84" s="56">
        <v>-25</v>
      </c>
      <c r="F84" s="56">
        <v>5</v>
      </c>
      <c r="G84" s="56">
        <v>31</v>
      </c>
      <c r="H84" s="56">
        <v>171</v>
      </c>
      <c r="I84" s="56">
        <v>-19</v>
      </c>
      <c r="J84" s="56">
        <v>52</v>
      </c>
    </row>
    <row r="85" spans="1:10" x14ac:dyDescent="0.35">
      <c r="A85" s="25" t="s">
        <v>80</v>
      </c>
      <c r="B85" s="57">
        <f t="shared" ref="B85:H85" si="14">+SUM(B78:B84)</f>
        <v>-175</v>
      </c>
      <c r="C85" s="57">
        <f t="shared" si="14"/>
        <v>-1034</v>
      </c>
      <c r="D85" s="57">
        <f t="shared" si="14"/>
        <v>-1008</v>
      </c>
      <c r="E85" s="57">
        <f t="shared" si="14"/>
        <v>276</v>
      </c>
      <c r="F85" s="57">
        <f t="shared" si="14"/>
        <v>-264</v>
      </c>
      <c r="G85" s="57">
        <f t="shared" si="14"/>
        <v>-1028</v>
      </c>
      <c r="H85" s="57">
        <f t="shared" si="14"/>
        <v>-3800</v>
      </c>
      <c r="I85" s="57">
        <f>+SUM(I78:I84)</f>
        <v>-1524</v>
      </c>
      <c r="J85" s="57">
        <f>+SUM(J78:J84)</f>
        <v>564</v>
      </c>
    </row>
    <row r="86" spans="1:10" x14ac:dyDescent="0.35">
      <c r="A86" s="1" t="s">
        <v>81</v>
      </c>
      <c r="B86" s="56"/>
      <c r="C86" s="56"/>
      <c r="D86" s="56"/>
      <c r="E86" s="56"/>
      <c r="F86" s="56"/>
      <c r="G86" s="56"/>
      <c r="H86" s="56"/>
      <c r="I86" s="56"/>
      <c r="J86" s="56"/>
    </row>
    <row r="87" spans="1:10" x14ac:dyDescent="0.35">
      <c r="A87" s="2" t="s">
        <v>82</v>
      </c>
      <c r="B87" s="56">
        <v>0</v>
      </c>
      <c r="C87" s="56">
        <v>981</v>
      </c>
      <c r="D87" s="56">
        <v>1482</v>
      </c>
      <c r="E87" s="56">
        <v>0</v>
      </c>
      <c r="F87" s="56">
        <v>0</v>
      </c>
      <c r="G87" s="56">
        <v>6134</v>
      </c>
      <c r="H87" s="56">
        <v>0</v>
      </c>
      <c r="I87" s="56">
        <v>0</v>
      </c>
      <c r="J87" s="56"/>
    </row>
    <row r="88" spans="1:10" x14ac:dyDescent="0.35">
      <c r="A88" s="2" t="s">
        <v>83</v>
      </c>
      <c r="B88" s="56">
        <v>-63</v>
      </c>
      <c r="C88" s="56">
        <v>-67</v>
      </c>
      <c r="D88" s="56">
        <v>327</v>
      </c>
      <c r="E88" s="56">
        <v>13</v>
      </c>
      <c r="F88" s="56">
        <v>-325</v>
      </c>
      <c r="G88" s="56">
        <v>49</v>
      </c>
      <c r="H88" s="56">
        <v>-52</v>
      </c>
      <c r="I88" s="56">
        <v>15</v>
      </c>
      <c r="J88" s="56">
        <v>-4</v>
      </c>
    </row>
    <row r="89" spans="1:10" x14ac:dyDescent="0.35">
      <c r="A89" s="2" t="s">
        <v>84</v>
      </c>
      <c r="B89" s="56">
        <v>0</v>
      </c>
      <c r="C89" s="56">
        <v>0</v>
      </c>
      <c r="D89" s="56">
        <v>0</v>
      </c>
      <c r="E89" s="56">
        <v>0</v>
      </c>
      <c r="F89" s="56">
        <v>0</v>
      </c>
      <c r="G89" s="56">
        <v>0</v>
      </c>
      <c r="H89" s="56">
        <v>-197</v>
      </c>
      <c r="I89" s="56">
        <v>0</v>
      </c>
      <c r="J89" s="56">
        <v>-500</v>
      </c>
    </row>
    <row r="90" spans="1:10" x14ac:dyDescent="0.35">
      <c r="A90" s="2" t="s">
        <v>85</v>
      </c>
      <c r="B90" s="56">
        <v>514</v>
      </c>
      <c r="C90" s="56">
        <v>507</v>
      </c>
      <c r="D90" s="56">
        <v>489</v>
      </c>
      <c r="E90" s="56">
        <v>733</v>
      </c>
      <c r="F90" s="56">
        <v>700</v>
      </c>
      <c r="G90" s="56">
        <v>885</v>
      </c>
      <c r="H90" s="56">
        <v>1172</v>
      </c>
      <c r="I90" s="56">
        <v>1151</v>
      </c>
      <c r="J90" s="56">
        <v>651</v>
      </c>
    </row>
    <row r="91" spans="1:10" x14ac:dyDescent="0.35">
      <c r="A91" s="2" t="s">
        <v>16</v>
      </c>
      <c r="B91" s="56">
        <v>-2534</v>
      </c>
      <c r="C91" s="56">
        <v>-3238</v>
      </c>
      <c r="D91" s="56">
        <v>-3223</v>
      </c>
      <c r="E91" s="56">
        <v>-4254</v>
      </c>
      <c r="F91" s="56">
        <v>-4286</v>
      </c>
      <c r="G91" s="56">
        <v>-3067</v>
      </c>
      <c r="H91" s="56">
        <v>-608</v>
      </c>
      <c r="I91" s="56">
        <v>-4014</v>
      </c>
      <c r="J91" s="56">
        <v>-5480</v>
      </c>
    </row>
    <row r="92" spans="1:10" x14ac:dyDescent="0.35">
      <c r="A92" s="2" t="s">
        <v>86</v>
      </c>
      <c r="B92" s="56">
        <v>-899</v>
      </c>
      <c r="C92" s="56">
        <v>-1022</v>
      </c>
      <c r="D92" s="56">
        <v>-1133</v>
      </c>
      <c r="E92" s="56">
        <v>-1243</v>
      </c>
      <c r="F92" s="56">
        <v>-1332</v>
      </c>
      <c r="G92" s="56">
        <v>-1452</v>
      </c>
      <c r="H92" s="56">
        <v>-1638</v>
      </c>
      <c r="I92" s="56">
        <v>-1837</v>
      </c>
      <c r="J92" s="56">
        <v>-2012</v>
      </c>
    </row>
    <row r="93" spans="1:10" x14ac:dyDescent="0.35">
      <c r="A93" s="2" t="s">
        <v>213</v>
      </c>
      <c r="B93" s="56">
        <f>-7-19+218</f>
        <v>192</v>
      </c>
      <c r="C93" s="56">
        <f>-106-7-22</f>
        <v>-135</v>
      </c>
      <c r="D93" s="56">
        <f>-44-17-29</f>
        <v>-90</v>
      </c>
      <c r="E93" s="56">
        <v>-84</v>
      </c>
      <c r="F93" s="56">
        <v>-50</v>
      </c>
      <c r="G93" s="56">
        <v>-58</v>
      </c>
      <c r="H93" s="56">
        <v>-136</v>
      </c>
      <c r="I93" s="56">
        <v>-151</v>
      </c>
      <c r="J93" s="56">
        <v>-102</v>
      </c>
    </row>
    <row r="94" spans="1:10" x14ac:dyDescent="0.35">
      <c r="A94" s="25" t="s">
        <v>87</v>
      </c>
      <c r="B94" s="57">
        <f t="shared" ref="B94:H94" si="15">+SUM(B87:B93)</f>
        <v>-2790</v>
      </c>
      <c r="C94" s="57">
        <f t="shared" si="15"/>
        <v>-2974</v>
      </c>
      <c r="D94" s="57">
        <f t="shared" si="15"/>
        <v>-2148</v>
      </c>
      <c r="E94" s="57">
        <f t="shared" si="15"/>
        <v>-4835</v>
      </c>
      <c r="F94" s="57">
        <f t="shared" si="15"/>
        <v>-5293</v>
      </c>
      <c r="G94" s="57">
        <f t="shared" si="15"/>
        <v>2491</v>
      </c>
      <c r="H94" s="57">
        <f t="shared" si="15"/>
        <v>-1459</v>
      </c>
      <c r="I94" s="57">
        <f>+SUM(I87:I93)</f>
        <v>-4836</v>
      </c>
      <c r="J94" s="57">
        <f>+SUM(J87:J93)</f>
        <v>-7447</v>
      </c>
    </row>
    <row r="95" spans="1:10" x14ac:dyDescent="0.35">
      <c r="A95" s="2" t="s">
        <v>88</v>
      </c>
      <c r="B95" s="56">
        <v>-83</v>
      </c>
      <c r="C95" s="56">
        <v>-105</v>
      </c>
      <c r="D95" s="56">
        <v>-20</v>
      </c>
      <c r="E95" s="56">
        <v>45</v>
      </c>
      <c r="F95" s="56">
        <v>-129</v>
      </c>
      <c r="G95" s="56">
        <v>-66</v>
      </c>
      <c r="H95" s="56">
        <v>143</v>
      </c>
      <c r="I95" s="56">
        <v>-143</v>
      </c>
      <c r="J95" s="56">
        <v>-91</v>
      </c>
    </row>
    <row r="96" spans="1:10" x14ac:dyDescent="0.35">
      <c r="A96" s="25" t="s">
        <v>89</v>
      </c>
      <c r="B96" s="57">
        <f>+B76+B85+B94+B95</f>
        <v>1632</v>
      </c>
      <c r="C96" s="57">
        <f t="shared" ref="C96:H96" si="16">+C76+C85+C94+C95</f>
        <v>-714</v>
      </c>
      <c r="D96" s="57">
        <f t="shared" si="16"/>
        <v>670</v>
      </c>
      <c r="E96" s="57">
        <f t="shared" si="16"/>
        <v>441</v>
      </c>
      <c r="F96" s="57">
        <f t="shared" si="16"/>
        <v>217</v>
      </c>
      <c r="G96" s="57">
        <f t="shared" si="16"/>
        <v>3882</v>
      </c>
      <c r="H96" s="57">
        <f t="shared" si="16"/>
        <v>1541</v>
      </c>
      <c r="I96" s="57">
        <f>+I76+I85+I94+I95</f>
        <v>-1315</v>
      </c>
      <c r="J96" s="57">
        <f>+J76+J85+J94+J95</f>
        <v>-1133</v>
      </c>
    </row>
    <row r="97" spans="1:10" s="12" customFormat="1" x14ac:dyDescent="0.35">
      <c r="A97" t="s">
        <v>90</v>
      </c>
      <c r="B97" s="56">
        <v>2220</v>
      </c>
      <c r="C97" s="56">
        <v>3852</v>
      </c>
      <c r="D97" s="56">
        <v>3138</v>
      </c>
      <c r="E97" s="56">
        <v>3808</v>
      </c>
      <c r="F97" s="56">
        <v>4249</v>
      </c>
      <c r="G97" s="56">
        <v>4466</v>
      </c>
      <c r="H97" s="56">
        <f>+G98</f>
        <v>8348</v>
      </c>
      <c r="I97" s="56">
        <f>+H98</f>
        <v>9889</v>
      </c>
      <c r="J97" s="56">
        <f>+I98</f>
        <v>8574</v>
      </c>
    </row>
    <row r="98" spans="1:10" ht="15" thickBot="1" x14ac:dyDescent="0.4">
      <c r="A98" s="6" t="s">
        <v>91</v>
      </c>
      <c r="B98" s="58">
        <f>+B96+B97</f>
        <v>3852</v>
      </c>
      <c r="C98" s="58">
        <f>+C96+C97</f>
        <v>3138</v>
      </c>
      <c r="D98" s="58">
        <f t="shared" ref="D98:G98" si="17">+D96+D97</f>
        <v>3808</v>
      </c>
      <c r="E98" s="58">
        <f t="shared" si="17"/>
        <v>4249</v>
      </c>
      <c r="F98" s="58">
        <f t="shared" si="17"/>
        <v>4466</v>
      </c>
      <c r="G98" s="58">
        <f t="shared" si="17"/>
        <v>8348</v>
      </c>
      <c r="H98" s="58">
        <f>+H96+H97</f>
        <v>9889</v>
      </c>
      <c r="I98" s="58">
        <f>+I96+I97</f>
        <v>8574</v>
      </c>
      <c r="J98" s="58">
        <f>+J96+J97</f>
        <v>7441</v>
      </c>
    </row>
    <row r="99" spans="1:10" ht="15" thickTop="1" x14ac:dyDescent="0.35">
      <c r="A99" s="12" t="s">
        <v>19</v>
      </c>
      <c r="B99" s="13">
        <f>+B98-B25</f>
        <v>0</v>
      </c>
      <c r="C99" s="13">
        <f t="shared" ref="C99:H99" si="18">+C98-C25</f>
        <v>0</v>
      </c>
      <c r="D99" s="13">
        <f t="shared" si="18"/>
        <v>0</v>
      </c>
      <c r="E99" s="13">
        <f t="shared" si="18"/>
        <v>0</v>
      </c>
      <c r="F99" s="13">
        <f t="shared" si="18"/>
        <v>0</v>
      </c>
      <c r="G99" s="13">
        <f t="shared" si="18"/>
        <v>0</v>
      </c>
      <c r="H99" s="13">
        <f t="shared" si="18"/>
        <v>0</v>
      </c>
      <c r="I99" s="13">
        <f>+I98-I25</f>
        <v>0</v>
      </c>
      <c r="J99" s="13">
        <f>+J98-J25</f>
        <v>0</v>
      </c>
    </row>
    <row r="100" spans="1:10" x14ac:dyDescent="0.35">
      <c r="A100" t="s">
        <v>92</v>
      </c>
      <c r="B100" s="3"/>
      <c r="C100" s="3"/>
      <c r="D100" s="3"/>
      <c r="E100" s="3"/>
      <c r="F100" s="3"/>
      <c r="G100" s="3"/>
      <c r="H100" s="3"/>
      <c r="I100" s="3"/>
      <c r="J100" s="3"/>
    </row>
    <row r="101" spans="1:10" x14ac:dyDescent="0.35">
      <c r="A101" s="2" t="s">
        <v>17</v>
      </c>
      <c r="B101" s="3"/>
      <c r="C101" s="3"/>
      <c r="D101" s="3"/>
      <c r="E101" s="3"/>
      <c r="F101" s="3"/>
      <c r="G101" s="3"/>
      <c r="H101" s="3"/>
      <c r="I101" s="3"/>
      <c r="J101" s="3"/>
    </row>
    <row r="102" spans="1:10" x14ac:dyDescent="0.35">
      <c r="A102" s="11" t="s">
        <v>93</v>
      </c>
      <c r="B102" s="3">
        <v>53</v>
      </c>
      <c r="C102" s="3">
        <v>70</v>
      </c>
      <c r="D102" s="3">
        <v>98</v>
      </c>
      <c r="E102" s="3">
        <v>125</v>
      </c>
      <c r="F102" s="3">
        <v>153</v>
      </c>
      <c r="G102" s="3">
        <v>140</v>
      </c>
      <c r="H102" s="3">
        <v>293</v>
      </c>
      <c r="I102" s="3">
        <v>290</v>
      </c>
      <c r="J102" s="3">
        <v>374</v>
      </c>
    </row>
    <row r="103" spans="1:10" x14ac:dyDescent="0.35">
      <c r="A103" s="11" t="s">
        <v>18</v>
      </c>
      <c r="B103" s="3">
        <v>703</v>
      </c>
      <c r="C103" s="3">
        <v>748</v>
      </c>
      <c r="D103" s="3">
        <v>1262</v>
      </c>
      <c r="E103" s="3">
        <v>529</v>
      </c>
      <c r="F103" s="3">
        <v>757</v>
      </c>
      <c r="G103" s="3">
        <v>1028</v>
      </c>
      <c r="H103" s="3">
        <v>1177</v>
      </c>
      <c r="I103" s="3">
        <v>1231</v>
      </c>
      <c r="J103" s="3">
        <v>1517</v>
      </c>
    </row>
    <row r="104" spans="1:10" x14ac:dyDescent="0.35">
      <c r="A104" s="11" t="s">
        <v>94</v>
      </c>
      <c r="B104" s="3">
        <v>206</v>
      </c>
      <c r="C104" s="3">
        <v>252</v>
      </c>
      <c r="D104" s="3">
        <v>266</v>
      </c>
      <c r="E104" s="3">
        <v>294</v>
      </c>
      <c r="F104" s="3">
        <v>160</v>
      </c>
      <c r="G104" s="3">
        <v>121</v>
      </c>
      <c r="H104" s="3">
        <v>179</v>
      </c>
      <c r="I104" s="3">
        <v>160</v>
      </c>
      <c r="J104" s="3">
        <v>211</v>
      </c>
    </row>
    <row r="105" spans="1:10" x14ac:dyDescent="0.35">
      <c r="A105" s="11" t="s">
        <v>95</v>
      </c>
      <c r="B105" s="3">
        <v>240</v>
      </c>
      <c r="C105" s="3">
        <v>271</v>
      </c>
      <c r="D105" s="3">
        <v>300</v>
      </c>
      <c r="E105" s="3">
        <v>320</v>
      </c>
      <c r="F105" s="3">
        <v>347</v>
      </c>
      <c r="G105" s="3">
        <v>385</v>
      </c>
      <c r="H105" s="3">
        <v>438</v>
      </c>
      <c r="I105" s="3">
        <v>480</v>
      </c>
      <c r="J105" s="3">
        <v>524</v>
      </c>
    </row>
    <row r="107" spans="1:10" x14ac:dyDescent="0.35">
      <c r="A107" s="14" t="s">
        <v>98</v>
      </c>
      <c r="B107" s="14"/>
      <c r="C107" s="14"/>
      <c r="D107" s="14"/>
      <c r="E107" s="14"/>
      <c r="F107" s="14"/>
      <c r="G107" s="14"/>
      <c r="H107" s="14"/>
      <c r="I107" s="14"/>
      <c r="J107" s="14"/>
    </row>
    <row r="108" spans="1:10" x14ac:dyDescent="0.35">
      <c r="A108" s="26" t="s">
        <v>108</v>
      </c>
      <c r="B108" s="3"/>
      <c r="C108" s="3"/>
      <c r="D108" s="3"/>
      <c r="E108" s="3"/>
      <c r="F108" s="3"/>
      <c r="G108" s="3"/>
      <c r="H108" s="3"/>
      <c r="I108" s="3"/>
      <c r="J108" s="3"/>
    </row>
    <row r="109" spans="1:10" x14ac:dyDescent="0.35">
      <c r="A109" s="2" t="s">
        <v>99</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c r="J109" s="3"/>
    </row>
    <row r="110" spans="1:10" x14ac:dyDescent="0.35">
      <c r="A110" s="11" t="s">
        <v>112</v>
      </c>
      <c r="B110" s="8">
        <v>8506</v>
      </c>
      <c r="C110" s="8">
        <v>9299</v>
      </c>
      <c r="D110" s="8">
        <v>9684</v>
      </c>
      <c r="E110" s="8">
        <v>9322</v>
      </c>
      <c r="F110" s="8">
        <v>10045</v>
      </c>
      <c r="G110" s="8">
        <v>9329</v>
      </c>
      <c r="H110" s="8">
        <v>11644</v>
      </c>
      <c r="I110" s="8">
        <v>12228</v>
      </c>
      <c r="J110" s="8"/>
    </row>
    <row r="111" spans="1:10" x14ac:dyDescent="0.35">
      <c r="A111" s="11" t="s">
        <v>113</v>
      </c>
      <c r="B111" s="8">
        <v>4410</v>
      </c>
      <c r="C111" s="8">
        <v>4746</v>
      </c>
      <c r="D111" s="8">
        <v>4886</v>
      </c>
      <c r="E111" s="8">
        <v>4938</v>
      </c>
      <c r="F111" s="8">
        <v>5260</v>
      </c>
      <c r="G111" s="8">
        <v>4639</v>
      </c>
      <c r="H111" s="8">
        <v>5028</v>
      </c>
      <c r="I111" s="8">
        <v>5492</v>
      </c>
      <c r="J111" s="8"/>
    </row>
    <row r="112" spans="1:10" x14ac:dyDescent="0.35">
      <c r="A112" s="11" t="s">
        <v>114</v>
      </c>
      <c r="B112" s="8">
        <v>824</v>
      </c>
      <c r="C112" s="8">
        <v>719</v>
      </c>
      <c r="D112" s="8">
        <v>646</v>
      </c>
      <c r="E112">
        <v>595</v>
      </c>
      <c r="F112" s="8">
        <v>597</v>
      </c>
      <c r="G112" s="8">
        <v>516</v>
      </c>
      <c r="H112">
        <v>507</v>
      </c>
      <c r="I112">
        <v>633</v>
      </c>
    </row>
    <row r="113" spans="1:10" x14ac:dyDescent="0.35">
      <c r="A113" s="2" t="s">
        <v>100</v>
      </c>
      <c r="B113" s="3">
        <f t="shared" ref="B113:H113" si="20">+SUM(B114:B116)</f>
        <v>0</v>
      </c>
      <c r="C113" s="3">
        <f t="shared" si="20"/>
        <v>0</v>
      </c>
      <c r="D113" s="3">
        <f t="shared" si="20"/>
        <v>0</v>
      </c>
      <c r="E113" s="3">
        <f t="shared" si="20"/>
        <v>9242</v>
      </c>
      <c r="F113" s="3">
        <f t="shared" si="20"/>
        <v>9812</v>
      </c>
      <c r="G113" s="3">
        <f t="shared" si="20"/>
        <v>9347</v>
      </c>
      <c r="H113" s="3">
        <f t="shared" si="20"/>
        <v>11456</v>
      </c>
      <c r="I113" s="3">
        <f>+SUM(I114:I116)</f>
        <v>12479</v>
      </c>
      <c r="J113" s="3"/>
    </row>
    <row r="114" spans="1:10" x14ac:dyDescent="0.35">
      <c r="A114" s="11" t="s">
        <v>112</v>
      </c>
      <c r="B114" s="8"/>
      <c r="C114" s="8"/>
      <c r="D114" s="8"/>
      <c r="E114" s="8">
        <v>5875</v>
      </c>
      <c r="F114" s="8">
        <v>6293</v>
      </c>
      <c r="G114" s="8">
        <v>5892</v>
      </c>
      <c r="H114" s="8">
        <v>6970</v>
      </c>
      <c r="I114" s="8">
        <v>7388</v>
      </c>
      <c r="J114" s="8"/>
    </row>
    <row r="115" spans="1:10" x14ac:dyDescent="0.35">
      <c r="A115" s="11" t="s">
        <v>113</v>
      </c>
      <c r="B115" s="8"/>
      <c r="C115" s="8"/>
      <c r="D115" s="8"/>
      <c r="E115" s="8">
        <v>2940</v>
      </c>
      <c r="F115" s="8">
        <v>3087</v>
      </c>
      <c r="G115" s="8">
        <v>3053</v>
      </c>
      <c r="H115" s="8">
        <v>3996</v>
      </c>
      <c r="I115" s="8">
        <v>4527</v>
      </c>
      <c r="J115" s="8"/>
    </row>
    <row r="116" spans="1:10" x14ac:dyDescent="0.35">
      <c r="A116" s="11" t="s">
        <v>114</v>
      </c>
      <c r="B116" s="8"/>
      <c r="C116" s="8"/>
      <c r="D116" s="8"/>
      <c r="E116" s="8">
        <v>427</v>
      </c>
      <c r="F116">
        <v>432</v>
      </c>
      <c r="G116">
        <v>402</v>
      </c>
      <c r="H116">
        <v>490</v>
      </c>
      <c r="I116">
        <v>564</v>
      </c>
    </row>
    <row r="117" spans="1:10" x14ac:dyDescent="0.35">
      <c r="A117" s="2" t="s">
        <v>101</v>
      </c>
      <c r="B117" s="3">
        <f t="shared" ref="B117:H117" si="21">+SUM(B118:B120)</f>
        <v>3067</v>
      </c>
      <c r="C117" s="3">
        <f t="shared" si="21"/>
        <v>3785</v>
      </c>
      <c r="D117" s="3">
        <f t="shared" si="21"/>
        <v>4237</v>
      </c>
      <c r="E117" s="3">
        <f t="shared" si="21"/>
        <v>5134</v>
      </c>
      <c r="F117" s="3">
        <f t="shared" si="21"/>
        <v>6208</v>
      </c>
      <c r="G117" s="3">
        <f t="shared" si="21"/>
        <v>6679</v>
      </c>
      <c r="H117" s="3">
        <f t="shared" si="21"/>
        <v>8290</v>
      </c>
      <c r="I117" s="3">
        <f>+SUM(I118:I120)</f>
        <v>7547</v>
      </c>
      <c r="J117" s="3"/>
    </row>
    <row r="118" spans="1:10" x14ac:dyDescent="0.35">
      <c r="A118" s="11" t="s">
        <v>112</v>
      </c>
      <c r="B118" s="8">
        <v>2016</v>
      </c>
      <c r="C118" s="8">
        <v>2599</v>
      </c>
      <c r="D118" s="8">
        <v>2920</v>
      </c>
      <c r="E118" s="8">
        <v>3496</v>
      </c>
      <c r="F118" s="8">
        <v>4262</v>
      </c>
      <c r="G118" s="8">
        <v>4635</v>
      </c>
      <c r="H118" s="8">
        <v>5748</v>
      </c>
      <c r="I118" s="8">
        <v>5416</v>
      </c>
      <c r="J118" s="8"/>
    </row>
    <row r="119" spans="1:10" x14ac:dyDescent="0.35">
      <c r="A119" s="11" t="s">
        <v>113</v>
      </c>
      <c r="B119" s="8">
        <v>925</v>
      </c>
      <c r="C119" s="8">
        <v>1055</v>
      </c>
      <c r="D119" s="8">
        <v>1188</v>
      </c>
      <c r="E119" s="8">
        <v>1508</v>
      </c>
      <c r="F119" s="8">
        <v>1808</v>
      </c>
      <c r="G119" s="8">
        <v>1896</v>
      </c>
      <c r="H119" s="8">
        <v>2347</v>
      </c>
      <c r="I119" s="8">
        <v>1938</v>
      </c>
      <c r="J119" s="8"/>
    </row>
    <row r="120" spans="1:10" x14ac:dyDescent="0.35">
      <c r="A120" s="11" t="s">
        <v>114</v>
      </c>
      <c r="B120" s="8">
        <v>126</v>
      </c>
      <c r="C120" s="8">
        <v>131</v>
      </c>
      <c r="D120" s="8">
        <v>129</v>
      </c>
      <c r="E120">
        <v>130</v>
      </c>
      <c r="F120">
        <v>138</v>
      </c>
      <c r="G120" s="8">
        <v>148</v>
      </c>
      <c r="H120">
        <v>195</v>
      </c>
      <c r="I120">
        <v>193</v>
      </c>
    </row>
    <row r="121" spans="1:10" x14ac:dyDescent="0.35">
      <c r="A121" s="2" t="s">
        <v>105</v>
      </c>
      <c r="B121" s="3">
        <f t="shared" ref="B121:H121" si="22">+SUM(B122:B124)</f>
        <v>0</v>
      </c>
      <c r="C121" s="3">
        <f t="shared" si="22"/>
        <v>0</v>
      </c>
      <c r="D121" s="3">
        <f t="shared" si="22"/>
        <v>0</v>
      </c>
      <c r="E121" s="3">
        <f t="shared" si="22"/>
        <v>5166</v>
      </c>
      <c r="F121" s="3">
        <f t="shared" si="22"/>
        <v>5254</v>
      </c>
      <c r="G121" s="3">
        <f t="shared" si="22"/>
        <v>5028</v>
      </c>
      <c r="H121" s="3">
        <f t="shared" si="22"/>
        <v>5343</v>
      </c>
      <c r="I121" s="3">
        <f>+SUM(I122:I124)</f>
        <v>5955</v>
      </c>
      <c r="J121" s="3"/>
    </row>
    <row r="122" spans="1:10" x14ac:dyDescent="0.35">
      <c r="A122" s="11" t="s">
        <v>112</v>
      </c>
      <c r="E122" s="8">
        <v>3575</v>
      </c>
      <c r="F122" s="8">
        <v>3622</v>
      </c>
      <c r="G122" s="8">
        <v>3449</v>
      </c>
      <c r="H122" s="8">
        <v>3659</v>
      </c>
      <c r="I122" s="8">
        <v>4111</v>
      </c>
      <c r="J122" s="8"/>
    </row>
    <row r="123" spans="1:10" x14ac:dyDescent="0.35">
      <c r="A123" s="11" t="s">
        <v>113</v>
      </c>
      <c r="E123" s="8">
        <v>1347</v>
      </c>
      <c r="F123" s="8">
        <v>1395</v>
      </c>
      <c r="G123" s="8">
        <v>1365</v>
      </c>
      <c r="H123" s="8">
        <v>1494</v>
      </c>
      <c r="I123" s="8">
        <v>1610</v>
      </c>
      <c r="J123" s="8"/>
    </row>
    <row r="124" spans="1:10" x14ac:dyDescent="0.35">
      <c r="A124" s="11" t="s">
        <v>114</v>
      </c>
      <c r="E124" s="8">
        <v>244</v>
      </c>
      <c r="F124">
        <v>237</v>
      </c>
      <c r="G124">
        <v>214</v>
      </c>
      <c r="H124">
        <v>190</v>
      </c>
      <c r="I124">
        <v>234</v>
      </c>
    </row>
    <row r="125" spans="1:10" x14ac:dyDescent="0.35">
      <c r="A125" s="2" t="s">
        <v>214</v>
      </c>
      <c r="B125" s="3">
        <f t="shared" ref="B125:D125" si="23">+SUM(B126:B128)</f>
        <v>5705</v>
      </c>
      <c r="C125" s="3">
        <f t="shared" si="23"/>
        <v>5884</v>
      </c>
      <c r="D125" s="3">
        <f t="shared" si="23"/>
        <v>6211</v>
      </c>
      <c r="E125" s="3"/>
      <c r="F125" s="3"/>
      <c r="G125" s="3"/>
      <c r="H125" s="3"/>
      <c r="I125" s="3"/>
      <c r="J125" s="3"/>
    </row>
    <row r="126" spans="1:10" x14ac:dyDescent="0.35">
      <c r="A126" s="11" t="s">
        <v>112</v>
      </c>
      <c r="B126" s="8">
        <v>3876</v>
      </c>
      <c r="C126" s="8">
        <v>3985</v>
      </c>
      <c r="D126" s="8">
        <v>4068</v>
      </c>
      <c r="E126" s="8"/>
      <c r="F126" s="8"/>
      <c r="G126" s="8"/>
      <c r="H126" s="8"/>
      <c r="I126" s="8"/>
      <c r="J126" s="8"/>
    </row>
    <row r="127" spans="1:10" x14ac:dyDescent="0.35">
      <c r="A127" s="11" t="s">
        <v>113</v>
      </c>
      <c r="B127" s="8">
        <v>1552</v>
      </c>
      <c r="C127" s="8">
        <v>1628</v>
      </c>
      <c r="D127" s="8">
        <v>1868</v>
      </c>
      <c r="E127" s="8"/>
      <c r="F127" s="8"/>
      <c r="G127" s="8"/>
      <c r="H127" s="8"/>
      <c r="I127" s="8"/>
      <c r="J127" s="8"/>
    </row>
    <row r="128" spans="1:10" x14ac:dyDescent="0.35">
      <c r="A128" s="11" t="s">
        <v>114</v>
      </c>
      <c r="B128" s="8">
        <v>277</v>
      </c>
      <c r="C128" s="8">
        <v>271</v>
      </c>
      <c r="D128" s="8">
        <v>275</v>
      </c>
      <c r="E128" s="8"/>
    </row>
    <row r="129" spans="1:10" x14ac:dyDescent="0.35">
      <c r="A129" s="2" t="s">
        <v>215</v>
      </c>
      <c r="B129" s="3">
        <f t="shared" ref="B129:D129" si="24">+SUM(B130:B132)</f>
        <v>1421</v>
      </c>
      <c r="C129" s="3">
        <f t="shared" si="24"/>
        <v>1431</v>
      </c>
      <c r="D129" s="3">
        <f t="shared" si="24"/>
        <v>1487</v>
      </c>
      <c r="E129" s="3"/>
      <c r="F129" s="3"/>
      <c r="G129" s="3"/>
      <c r="H129" s="3"/>
      <c r="I129" s="3"/>
      <c r="J129" s="3"/>
    </row>
    <row r="130" spans="1:10" x14ac:dyDescent="0.35">
      <c r="A130" s="11" t="s">
        <v>112</v>
      </c>
      <c r="B130" s="8">
        <v>827</v>
      </c>
      <c r="C130" s="8">
        <v>882</v>
      </c>
      <c r="D130" s="8">
        <v>927</v>
      </c>
      <c r="E130" s="8"/>
      <c r="F130" s="8"/>
      <c r="G130" s="8"/>
      <c r="H130" s="8"/>
      <c r="I130" s="8"/>
      <c r="J130" s="8"/>
    </row>
    <row r="131" spans="1:10" x14ac:dyDescent="0.35">
      <c r="A131" s="11" t="s">
        <v>113</v>
      </c>
      <c r="B131" s="8">
        <v>499</v>
      </c>
      <c r="C131" s="8">
        <v>463</v>
      </c>
      <c r="D131" s="8">
        <v>471</v>
      </c>
      <c r="E131" s="8"/>
      <c r="F131" s="8"/>
      <c r="G131" s="8"/>
      <c r="H131" s="8"/>
      <c r="I131" s="8"/>
      <c r="J131" s="8"/>
    </row>
    <row r="132" spans="1:10" s="12" customFormat="1" x14ac:dyDescent="0.35">
      <c r="A132" s="11" t="s">
        <v>114</v>
      </c>
      <c r="B132" s="8">
        <v>95</v>
      </c>
      <c r="C132" s="8">
        <v>86</v>
      </c>
      <c r="D132" s="8">
        <v>89</v>
      </c>
      <c r="E132" s="8"/>
      <c r="F132"/>
      <c r="G132"/>
      <c r="H132"/>
      <c r="I132"/>
      <c r="J132"/>
    </row>
    <row r="133" spans="1:10" x14ac:dyDescent="0.35">
      <c r="A133" s="2" t="s">
        <v>216</v>
      </c>
      <c r="B133" s="3">
        <f t="shared" ref="B133:D133" si="25">+SUM(B134:B136)</f>
        <v>755</v>
      </c>
      <c r="C133" s="3">
        <f t="shared" si="25"/>
        <v>869</v>
      </c>
      <c r="D133" s="3">
        <f t="shared" si="25"/>
        <v>1014</v>
      </c>
      <c r="E133" s="3"/>
      <c r="F133" s="3"/>
      <c r="G133" s="3"/>
      <c r="H133" s="3"/>
      <c r="I133" s="3"/>
      <c r="J133" s="3"/>
    </row>
    <row r="134" spans="1:10" x14ac:dyDescent="0.35">
      <c r="A134" s="11" t="s">
        <v>112</v>
      </c>
      <c r="B134" s="8">
        <v>452</v>
      </c>
      <c r="C134" s="8">
        <v>570</v>
      </c>
      <c r="D134" s="8">
        <v>666</v>
      </c>
      <c r="E134" s="8"/>
      <c r="F134" s="8"/>
      <c r="G134" s="8"/>
      <c r="H134" s="8"/>
      <c r="I134" s="8"/>
      <c r="J134" s="8"/>
    </row>
    <row r="135" spans="1:10" x14ac:dyDescent="0.35">
      <c r="A135" s="11" t="s">
        <v>113</v>
      </c>
      <c r="B135" s="8">
        <v>230</v>
      </c>
      <c r="C135" s="8">
        <v>228</v>
      </c>
      <c r="D135" s="8">
        <v>275</v>
      </c>
      <c r="E135" s="8"/>
      <c r="F135" s="8"/>
      <c r="G135" s="8"/>
      <c r="H135" s="8"/>
      <c r="I135" s="8"/>
      <c r="J135" s="8"/>
    </row>
    <row r="136" spans="1:10" x14ac:dyDescent="0.35">
      <c r="A136" s="11" t="s">
        <v>114</v>
      </c>
      <c r="B136" s="8">
        <v>73</v>
      </c>
      <c r="C136" s="8">
        <v>71</v>
      </c>
      <c r="D136" s="8">
        <v>73</v>
      </c>
      <c r="E136" s="8"/>
    </row>
    <row r="137" spans="1:10" x14ac:dyDescent="0.35">
      <c r="A137" s="2" t="s">
        <v>217</v>
      </c>
      <c r="B137" s="3">
        <f t="shared" ref="B137:D137" si="26">+SUM(B138:B140)</f>
        <v>3898</v>
      </c>
      <c r="C137" s="3">
        <f t="shared" si="26"/>
        <v>3701</v>
      </c>
      <c r="D137" s="3">
        <f t="shared" si="26"/>
        <v>3995</v>
      </c>
      <c r="E137" s="3"/>
      <c r="F137" s="3"/>
      <c r="G137" s="3"/>
      <c r="H137" s="3"/>
      <c r="I137" s="3"/>
      <c r="J137" s="3"/>
    </row>
    <row r="138" spans="1:10" x14ac:dyDescent="0.35">
      <c r="A138" s="11" t="s">
        <v>112</v>
      </c>
      <c r="B138" s="8">
        <v>2641</v>
      </c>
      <c r="C138" s="8">
        <v>2536</v>
      </c>
      <c r="D138" s="8">
        <v>2816</v>
      </c>
      <c r="E138" s="8"/>
      <c r="F138" s="8"/>
      <c r="G138" s="8"/>
      <c r="H138" s="8"/>
      <c r="I138" s="8"/>
      <c r="J138" s="8"/>
    </row>
    <row r="139" spans="1:10" x14ac:dyDescent="0.35">
      <c r="A139" s="11" t="s">
        <v>113</v>
      </c>
      <c r="B139" s="8">
        <v>1021</v>
      </c>
      <c r="C139" s="8">
        <v>947</v>
      </c>
      <c r="D139" s="8">
        <v>966</v>
      </c>
      <c r="E139" s="8"/>
      <c r="F139" s="8"/>
      <c r="G139" s="8"/>
      <c r="H139" s="8"/>
      <c r="I139" s="8"/>
      <c r="J139" s="8"/>
    </row>
    <row r="140" spans="1:10" x14ac:dyDescent="0.35">
      <c r="A140" s="11" t="s">
        <v>114</v>
      </c>
      <c r="B140" s="8">
        <v>236</v>
      </c>
      <c r="C140" s="8">
        <v>218</v>
      </c>
      <c r="D140" s="8">
        <v>213</v>
      </c>
      <c r="E140" s="8"/>
    </row>
    <row r="141" spans="1:10" x14ac:dyDescent="0.35">
      <c r="A141" s="2" t="s">
        <v>106</v>
      </c>
      <c r="B141" s="3">
        <v>115</v>
      </c>
      <c r="C141" s="3">
        <v>73</v>
      </c>
      <c r="D141" s="3">
        <v>73</v>
      </c>
      <c r="E141" s="3">
        <v>88</v>
      </c>
      <c r="F141" s="3">
        <v>42</v>
      </c>
      <c r="G141" s="3">
        <v>30</v>
      </c>
      <c r="H141" s="3">
        <v>25</v>
      </c>
      <c r="I141" s="3">
        <v>102</v>
      </c>
      <c r="J141" s="3"/>
    </row>
    <row r="142" spans="1:10" x14ac:dyDescent="0.35">
      <c r="A142" s="4" t="s">
        <v>102</v>
      </c>
      <c r="B142" s="5">
        <f>+B109+B113+B117+B121+B141+B125+B129+B133+B137</f>
        <v>28701</v>
      </c>
      <c r="C142" s="5">
        <f t="shared" ref="C142" si="27">+C109+C113+C117+C121+C141+C125+C129+C133+C137</f>
        <v>30507</v>
      </c>
      <c r="D142" s="5">
        <f>+D109+D113+D117+D121+D141+D125+D129+D133+D137</f>
        <v>32233</v>
      </c>
      <c r="E142" s="5">
        <f t="shared" ref="E142:H142" si="28">+E109+E113+E117+E121+E141</f>
        <v>34485</v>
      </c>
      <c r="F142" s="5">
        <f t="shared" si="28"/>
        <v>37218</v>
      </c>
      <c r="G142" s="5">
        <f t="shared" si="28"/>
        <v>35568</v>
      </c>
      <c r="H142" s="5">
        <f t="shared" si="28"/>
        <v>42293</v>
      </c>
      <c r="I142" s="5">
        <f>+I109+I113+I117+I121+I141</f>
        <v>44436</v>
      </c>
      <c r="J142" s="5"/>
    </row>
    <row r="143" spans="1:10" s="12" customFormat="1" x14ac:dyDescent="0.35">
      <c r="A143" s="2" t="s">
        <v>103</v>
      </c>
      <c r="B143" s="3">
        <v>1982</v>
      </c>
      <c r="C143" s="3">
        <v>1955</v>
      </c>
      <c r="D143" s="3">
        <v>2042</v>
      </c>
      <c r="E143" s="8">
        <v>1886</v>
      </c>
      <c r="F143" s="3">
        <v>1906</v>
      </c>
      <c r="G143" s="3">
        <v>1846</v>
      </c>
      <c r="H143" s="3">
        <v>2205</v>
      </c>
      <c r="I143" s="3">
        <v>2346</v>
      </c>
      <c r="J143" s="3"/>
    </row>
    <row r="144" spans="1:10" x14ac:dyDescent="0.35">
      <c r="A144" s="11" t="s">
        <v>112</v>
      </c>
      <c r="B144" s="3"/>
      <c r="C144" s="3"/>
      <c r="D144" s="3"/>
      <c r="E144" s="3"/>
      <c r="F144" s="3"/>
      <c r="G144" s="3"/>
      <c r="H144" s="3">
        <v>1986</v>
      </c>
      <c r="I144" s="3">
        <v>2094</v>
      </c>
      <c r="J144" s="3"/>
    </row>
    <row r="145" spans="1:10" x14ac:dyDescent="0.35">
      <c r="A145" s="11" t="s">
        <v>113</v>
      </c>
      <c r="B145" s="3"/>
      <c r="C145" s="3"/>
      <c r="D145" s="3"/>
      <c r="E145" s="3"/>
      <c r="F145" s="3"/>
      <c r="G145" s="3"/>
      <c r="H145" s="3">
        <v>104</v>
      </c>
      <c r="I145" s="3">
        <v>103</v>
      </c>
      <c r="J145" s="3"/>
    </row>
    <row r="146" spans="1:10" x14ac:dyDescent="0.35">
      <c r="A146" s="11" t="s">
        <v>114</v>
      </c>
      <c r="B146" s="3"/>
      <c r="C146" s="3"/>
      <c r="D146" s="3"/>
      <c r="E146" s="3"/>
      <c r="F146" s="3"/>
      <c r="G146" s="3"/>
      <c r="H146" s="3">
        <v>29</v>
      </c>
      <c r="I146" s="3">
        <v>26</v>
      </c>
      <c r="J146" s="3"/>
    </row>
    <row r="147" spans="1:10" x14ac:dyDescent="0.35">
      <c r="A147" s="11" t="s">
        <v>120</v>
      </c>
      <c r="B147" s="3"/>
      <c r="C147" s="3"/>
      <c r="D147" s="3"/>
      <c r="E147" s="3"/>
      <c r="F147" s="3"/>
      <c r="G147" s="3"/>
      <c r="H147" s="3">
        <v>86</v>
      </c>
      <c r="I147" s="3">
        <v>123</v>
      </c>
      <c r="J147" s="3"/>
    </row>
    <row r="148" spans="1:10" x14ac:dyDescent="0.35">
      <c r="A148" s="2" t="s">
        <v>107</v>
      </c>
      <c r="B148" s="3">
        <v>-82</v>
      </c>
      <c r="C148" s="3">
        <v>-86</v>
      </c>
      <c r="D148" s="3">
        <v>75</v>
      </c>
      <c r="E148" s="3">
        <v>26</v>
      </c>
      <c r="F148" s="3">
        <v>-7</v>
      </c>
      <c r="G148" s="3">
        <v>-11</v>
      </c>
      <c r="H148" s="3">
        <v>40</v>
      </c>
      <c r="I148" s="3">
        <v>-72</v>
      </c>
      <c r="J148" s="3"/>
    </row>
    <row r="149" spans="1:10" ht="15" thickBot="1" x14ac:dyDescent="0.4">
      <c r="A149" s="6" t="s">
        <v>104</v>
      </c>
      <c r="B149" s="7">
        <f t="shared" ref="B149:H149" si="29">+B142+B143+B148</f>
        <v>30601</v>
      </c>
      <c r="C149" s="7">
        <f t="shared" si="29"/>
        <v>32376</v>
      </c>
      <c r="D149" s="7">
        <f t="shared" si="29"/>
        <v>34350</v>
      </c>
      <c r="E149" s="7">
        <f t="shared" si="29"/>
        <v>36397</v>
      </c>
      <c r="F149" s="7">
        <f t="shared" si="29"/>
        <v>39117</v>
      </c>
      <c r="G149" s="7">
        <f t="shared" si="29"/>
        <v>37403</v>
      </c>
      <c r="H149" s="7">
        <f t="shared" si="29"/>
        <v>44538</v>
      </c>
      <c r="I149" s="7">
        <f>+I142+I143+I148</f>
        <v>46710</v>
      </c>
      <c r="J149" s="7"/>
    </row>
    <row r="150" spans="1:10" ht="15" thickTop="1" x14ac:dyDescent="0.35">
      <c r="A150" s="12" t="s">
        <v>110</v>
      </c>
      <c r="B150" s="13">
        <f>+I149-I2</f>
        <v>0</v>
      </c>
      <c r="C150" s="13">
        <f t="shared" ref="C150:G150" si="30">+C149-C2</f>
        <v>0</v>
      </c>
      <c r="D150" s="13">
        <f t="shared" si="30"/>
        <v>0</v>
      </c>
      <c r="E150" s="13">
        <f t="shared" si="30"/>
        <v>0</v>
      </c>
      <c r="F150" s="13">
        <f t="shared" si="30"/>
        <v>0</v>
      </c>
      <c r="G150" s="13">
        <f t="shared" si="30"/>
        <v>0</v>
      </c>
      <c r="H150" s="13">
        <f>+H149-H2</f>
        <v>0</v>
      </c>
      <c r="I150" s="12"/>
      <c r="J150" s="12"/>
    </row>
    <row r="151" spans="1:10" x14ac:dyDescent="0.35">
      <c r="A151" s="1" t="s">
        <v>109</v>
      </c>
    </row>
    <row r="152" spans="1:10" x14ac:dyDescent="0.35">
      <c r="A152" s="2" t="s">
        <v>99</v>
      </c>
      <c r="B152" s="3">
        <v>3645</v>
      </c>
      <c r="C152" s="3">
        <v>3763</v>
      </c>
      <c r="D152" s="3">
        <v>3875</v>
      </c>
      <c r="E152" s="8">
        <v>3600</v>
      </c>
      <c r="F152" s="8">
        <v>3925</v>
      </c>
      <c r="G152" s="8">
        <v>2899</v>
      </c>
      <c r="H152" s="3">
        <v>5089</v>
      </c>
      <c r="I152" s="3">
        <v>5114</v>
      </c>
      <c r="J152" s="3"/>
    </row>
    <row r="153" spans="1:10" x14ac:dyDescent="0.35">
      <c r="A153" s="2" t="s">
        <v>100</v>
      </c>
      <c r="B153" s="3">
        <v>0</v>
      </c>
      <c r="C153" s="3">
        <v>0</v>
      </c>
      <c r="D153" s="3">
        <v>0</v>
      </c>
      <c r="E153" s="8">
        <v>1587</v>
      </c>
      <c r="F153" s="8">
        <v>1995</v>
      </c>
      <c r="G153" s="8">
        <v>1541</v>
      </c>
      <c r="H153" s="3">
        <v>2435</v>
      </c>
      <c r="I153" s="3">
        <v>3293</v>
      </c>
      <c r="J153" s="3"/>
    </row>
    <row r="154" spans="1:10" x14ac:dyDescent="0.35">
      <c r="A154" s="2" t="s">
        <v>101</v>
      </c>
      <c r="B154" s="3">
        <v>993</v>
      </c>
      <c r="C154" s="3">
        <v>1372</v>
      </c>
      <c r="D154" s="3">
        <v>1507</v>
      </c>
      <c r="E154" s="8">
        <v>1807</v>
      </c>
      <c r="F154" s="8">
        <v>2376</v>
      </c>
      <c r="G154" s="8">
        <v>2490</v>
      </c>
      <c r="H154" s="3">
        <v>3243</v>
      </c>
      <c r="I154" s="3">
        <v>2365</v>
      </c>
      <c r="J154" s="3"/>
    </row>
    <row r="155" spans="1:10" x14ac:dyDescent="0.35">
      <c r="A155" s="2" t="s">
        <v>105</v>
      </c>
      <c r="B155" s="3">
        <v>0</v>
      </c>
      <c r="C155" s="3">
        <v>0</v>
      </c>
      <c r="D155" s="3">
        <v>0</v>
      </c>
      <c r="E155" s="3">
        <v>1189</v>
      </c>
      <c r="F155" s="8">
        <v>1323</v>
      </c>
      <c r="G155" s="8">
        <v>1184</v>
      </c>
      <c r="H155" s="3">
        <v>1530</v>
      </c>
      <c r="I155" s="3">
        <v>1896</v>
      </c>
      <c r="J155" s="3"/>
    </row>
    <row r="156" spans="1:10" x14ac:dyDescent="0.35">
      <c r="A156" s="59" t="s">
        <v>214</v>
      </c>
      <c r="B156" s="3">
        <v>1275</v>
      </c>
      <c r="C156" s="3">
        <v>1434</v>
      </c>
      <c r="D156" s="3">
        <v>1203</v>
      </c>
      <c r="E156" s="3">
        <v>0</v>
      </c>
      <c r="F156" s="3">
        <v>0</v>
      </c>
      <c r="G156" s="3">
        <v>0</v>
      </c>
      <c r="H156" s="3">
        <v>0</v>
      </c>
      <c r="I156" s="3">
        <v>0</v>
      </c>
      <c r="J156" s="3"/>
    </row>
    <row r="157" spans="1:10" x14ac:dyDescent="0.35">
      <c r="A157" s="59" t="s">
        <v>215</v>
      </c>
      <c r="B157" s="3">
        <v>249</v>
      </c>
      <c r="C157" s="3">
        <v>289</v>
      </c>
      <c r="D157" s="3">
        <v>244</v>
      </c>
      <c r="E157" s="3">
        <v>0</v>
      </c>
      <c r="F157" s="3">
        <v>0</v>
      </c>
      <c r="G157" s="3">
        <v>0</v>
      </c>
      <c r="H157" s="3">
        <v>0</v>
      </c>
      <c r="I157" s="3">
        <v>0</v>
      </c>
      <c r="J157" s="3"/>
    </row>
    <row r="158" spans="1:10" x14ac:dyDescent="0.35">
      <c r="A158" s="59" t="s">
        <v>216</v>
      </c>
      <c r="B158" s="3">
        <v>100</v>
      </c>
      <c r="C158" s="3">
        <v>174</v>
      </c>
      <c r="D158" s="3">
        <v>224</v>
      </c>
      <c r="E158" s="3">
        <v>0</v>
      </c>
      <c r="F158" s="3">
        <v>0</v>
      </c>
      <c r="G158" s="3">
        <v>0</v>
      </c>
      <c r="H158" s="3">
        <v>0</v>
      </c>
      <c r="I158" s="3">
        <v>0</v>
      </c>
      <c r="J158" s="3"/>
    </row>
    <row r="159" spans="1:10" x14ac:dyDescent="0.35">
      <c r="A159" s="59" t="s">
        <v>217</v>
      </c>
      <c r="B159" s="3">
        <v>818</v>
      </c>
      <c r="C159" s="3">
        <v>892</v>
      </c>
      <c r="D159" s="3">
        <v>816</v>
      </c>
      <c r="E159" s="3">
        <v>0</v>
      </c>
      <c r="F159" s="3">
        <v>0</v>
      </c>
      <c r="G159" s="3">
        <v>0</v>
      </c>
      <c r="H159" s="3">
        <v>0</v>
      </c>
      <c r="I159" s="3">
        <v>0</v>
      </c>
      <c r="J159" s="3"/>
    </row>
    <row r="160" spans="1:10" x14ac:dyDescent="0.35">
      <c r="A160" s="2" t="s">
        <v>106</v>
      </c>
      <c r="B160" s="3">
        <v>-2267</v>
      </c>
      <c r="C160" s="3">
        <v>-2596</v>
      </c>
      <c r="D160" s="3">
        <v>-2677</v>
      </c>
      <c r="E160" s="3">
        <v>-2658</v>
      </c>
      <c r="F160" s="3">
        <v>-3262</v>
      </c>
      <c r="G160" s="3">
        <v>-3468</v>
      </c>
      <c r="H160" s="3">
        <v>-3656</v>
      </c>
      <c r="I160" s="3">
        <v>-4262</v>
      </c>
      <c r="J160" s="3"/>
    </row>
    <row r="161" spans="1:10" x14ac:dyDescent="0.35">
      <c r="A161" s="4" t="s">
        <v>102</v>
      </c>
      <c r="B161" s="5">
        <f t="shared" ref="B161:I161" si="31">+SUM(B152:B160)</f>
        <v>4813</v>
      </c>
      <c r="C161" s="5">
        <f t="shared" si="31"/>
        <v>5328</v>
      </c>
      <c r="D161" s="5">
        <f t="shared" si="31"/>
        <v>5192</v>
      </c>
      <c r="E161" s="5">
        <f t="shared" si="31"/>
        <v>5525</v>
      </c>
      <c r="F161" s="5">
        <f t="shared" si="31"/>
        <v>6357</v>
      </c>
      <c r="G161" s="5">
        <f t="shared" si="31"/>
        <v>4646</v>
      </c>
      <c r="H161" s="5">
        <f t="shared" si="31"/>
        <v>8641</v>
      </c>
      <c r="I161" s="5">
        <f t="shared" si="31"/>
        <v>8406</v>
      </c>
      <c r="J161" s="5"/>
    </row>
    <row r="162" spans="1:10" x14ac:dyDescent="0.35">
      <c r="A162" s="2" t="s">
        <v>103</v>
      </c>
      <c r="B162" s="3">
        <v>517</v>
      </c>
      <c r="C162" s="3">
        <v>487</v>
      </c>
      <c r="D162" s="3">
        <v>477</v>
      </c>
      <c r="E162" s="3">
        <v>310</v>
      </c>
      <c r="F162" s="3">
        <v>303</v>
      </c>
      <c r="G162" s="3">
        <v>297</v>
      </c>
      <c r="H162" s="3">
        <v>543</v>
      </c>
      <c r="I162" s="3">
        <v>669</v>
      </c>
      <c r="J162" s="3"/>
    </row>
    <row r="163" spans="1:10" x14ac:dyDescent="0.35">
      <c r="A163" s="2" t="s">
        <v>107</v>
      </c>
      <c r="B163" s="3">
        <v>-1097</v>
      </c>
      <c r="C163" s="3">
        <v>-1173</v>
      </c>
      <c r="D163" s="3">
        <v>-724</v>
      </c>
      <c r="E163" s="3">
        <v>-1456</v>
      </c>
      <c r="F163" s="3">
        <v>-1810</v>
      </c>
      <c r="G163" s="3">
        <v>-1967</v>
      </c>
      <c r="H163" s="3">
        <v>-2261</v>
      </c>
      <c r="I163" s="3">
        <v>-2219</v>
      </c>
      <c r="J163" s="3"/>
    </row>
    <row r="164" spans="1:10" ht="15" thickBot="1" x14ac:dyDescent="0.4">
      <c r="A164" s="6" t="s">
        <v>111</v>
      </c>
      <c r="B164" s="7">
        <f t="shared" ref="B164:H164" si="32">+SUM(B161:B163)</f>
        <v>4233</v>
      </c>
      <c r="C164" s="7">
        <f t="shared" si="32"/>
        <v>4642</v>
      </c>
      <c r="D164" s="7">
        <f t="shared" si="32"/>
        <v>4945</v>
      </c>
      <c r="E164" s="7">
        <f t="shared" si="32"/>
        <v>4379</v>
      </c>
      <c r="F164" s="7">
        <f t="shared" si="32"/>
        <v>4850</v>
      </c>
      <c r="G164" s="7">
        <f t="shared" si="32"/>
        <v>2976</v>
      </c>
      <c r="H164" s="7">
        <f t="shared" si="32"/>
        <v>6923</v>
      </c>
      <c r="I164" s="7">
        <f>+SUM(I161:I163)</f>
        <v>6856</v>
      </c>
      <c r="J164" s="7"/>
    </row>
    <row r="165" spans="1:10" ht="15" thickTop="1" x14ac:dyDescent="0.35">
      <c r="A165" s="12" t="s">
        <v>110</v>
      </c>
      <c r="B165" s="13">
        <f>+B164-B10-B8</f>
        <v>0</v>
      </c>
      <c r="C165" s="13">
        <f t="shared" ref="C165:I165" si="33">+C164-C10-C8</f>
        <v>0</v>
      </c>
      <c r="D165" s="13">
        <f t="shared" si="33"/>
        <v>0</v>
      </c>
      <c r="E165" s="13">
        <f t="shared" si="33"/>
        <v>0</v>
      </c>
      <c r="F165" s="13">
        <f t="shared" si="33"/>
        <v>0</v>
      </c>
      <c r="G165" s="13">
        <f t="shared" si="33"/>
        <v>0</v>
      </c>
      <c r="H165" s="13">
        <f t="shared" si="33"/>
        <v>0</v>
      </c>
      <c r="I165" s="13">
        <f t="shared" si="33"/>
        <v>0</v>
      </c>
      <c r="J165" s="13"/>
    </row>
    <row r="166" spans="1:10" x14ac:dyDescent="0.35">
      <c r="A166" s="1" t="s">
        <v>116</v>
      </c>
    </row>
    <row r="167" spans="1:10" x14ac:dyDescent="0.35">
      <c r="A167" s="2" t="s">
        <v>99</v>
      </c>
      <c r="B167" s="3">
        <v>632</v>
      </c>
      <c r="C167" s="3">
        <v>742</v>
      </c>
      <c r="D167" s="3">
        <v>819</v>
      </c>
      <c r="E167" s="3">
        <v>848</v>
      </c>
      <c r="F167" s="3">
        <v>814</v>
      </c>
      <c r="G167" s="3">
        <v>645</v>
      </c>
      <c r="H167" s="3">
        <v>617</v>
      </c>
      <c r="I167" s="3">
        <v>639</v>
      </c>
      <c r="J167" s="3"/>
    </row>
    <row r="168" spans="1:10" x14ac:dyDescent="0.35">
      <c r="A168" s="2" t="s">
        <v>100</v>
      </c>
      <c r="B168" s="3">
        <v>0</v>
      </c>
      <c r="C168" s="3">
        <v>0</v>
      </c>
      <c r="D168" s="3">
        <v>709</v>
      </c>
      <c r="E168" s="3">
        <v>849</v>
      </c>
      <c r="F168" s="3">
        <v>929</v>
      </c>
      <c r="G168" s="3">
        <v>885</v>
      </c>
      <c r="H168" s="3">
        <v>982</v>
      </c>
      <c r="I168" s="3">
        <v>920</v>
      </c>
      <c r="J168" s="3"/>
    </row>
    <row r="169" spans="1:10" x14ac:dyDescent="0.35">
      <c r="A169" s="2" t="s">
        <v>101</v>
      </c>
      <c r="B169" s="3">
        <v>254</v>
      </c>
      <c r="C169" s="3">
        <v>234</v>
      </c>
      <c r="D169" s="3">
        <v>225</v>
      </c>
      <c r="E169" s="3">
        <v>256</v>
      </c>
      <c r="F169" s="3">
        <v>237</v>
      </c>
      <c r="G169" s="3">
        <v>214</v>
      </c>
      <c r="H169" s="3">
        <v>288</v>
      </c>
      <c r="I169" s="3">
        <v>303</v>
      </c>
      <c r="J169" s="3"/>
    </row>
    <row r="170" spans="1:10" x14ac:dyDescent="0.35">
      <c r="A170" s="2" t="s">
        <v>117</v>
      </c>
      <c r="B170" s="3">
        <v>0</v>
      </c>
      <c r="C170" s="3">
        <v>0</v>
      </c>
      <c r="D170" s="3">
        <v>340</v>
      </c>
      <c r="E170" s="3">
        <v>339</v>
      </c>
      <c r="F170" s="3">
        <v>326</v>
      </c>
      <c r="G170" s="3">
        <v>296</v>
      </c>
      <c r="H170" s="3">
        <v>304</v>
      </c>
      <c r="I170" s="3">
        <v>274</v>
      </c>
      <c r="J170" s="3"/>
    </row>
    <row r="171" spans="1:10" x14ac:dyDescent="0.35">
      <c r="A171" s="59" t="s">
        <v>218</v>
      </c>
      <c r="B171" s="3">
        <f>451+47+205+103</f>
        <v>806</v>
      </c>
      <c r="C171" s="3">
        <f>589+50+223+109</f>
        <v>971</v>
      </c>
      <c r="D171" s="3">
        <v>0</v>
      </c>
      <c r="E171" s="3">
        <v>0</v>
      </c>
      <c r="F171" s="3">
        <v>0</v>
      </c>
      <c r="G171" s="3">
        <v>0</v>
      </c>
      <c r="H171" s="3">
        <v>0</v>
      </c>
      <c r="I171" s="3">
        <v>0</v>
      </c>
      <c r="J171" s="3"/>
    </row>
    <row r="172" spans="1:10" x14ac:dyDescent="0.35">
      <c r="A172" s="2" t="s">
        <v>106</v>
      </c>
      <c r="B172" s="3">
        <v>484</v>
      </c>
      <c r="C172" s="3">
        <v>511</v>
      </c>
      <c r="D172" s="3">
        <v>533</v>
      </c>
      <c r="E172" s="3">
        <v>597</v>
      </c>
      <c r="F172" s="3">
        <v>665</v>
      </c>
      <c r="G172" s="3">
        <v>830</v>
      </c>
      <c r="H172" s="3">
        <v>780</v>
      </c>
      <c r="I172" s="3">
        <v>789</v>
      </c>
      <c r="J172" s="3"/>
    </row>
    <row r="173" spans="1:10" x14ac:dyDescent="0.35">
      <c r="A173" s="4" t="s">
        <v>118</v>
      </c>
      <c r="B173" s="5">
        <f t="shared" ref="B173:I173" si="34">+SUM(B167:B172)</f>
        <v>2176</v>
      </c>
      <c r="C173" s="5">
        <f t="shared" si="34"/>
        <v>2458</v>
      </c>
      <c r="D173" s="5">
        <f t="shared" si="34"/>
        <v>2626</v>
      </c>
      <c r="E173" s="5">
        <f t="shared" si="34"/>
        <v>2889</v>
      </c>
      <c r="F173" s="5">
        <f t="shared" si="34"/>
        <v>2971</v>
      </c>
      <c r="G173" s="5">
        <f t="shared" si="34"/>
        <v>2870</v>
      </c>
      <c r="H173" s="5">
        <f t="shared" si="34"/>
        <v>2971</v>
      </c>
      <c r="I173" s="5">
        <f t="shared" si="34"/>
        <v>2925</v>
      </c>
      <c r="J173" s="5"/>
    </row>
    <row r="174" spans="1:10" x14ac:dyDescent="0.35">
      <c r="A174" s="2" t="s">
        <v>103</v>
      </c>
      <c r="B174" s="3">
        <v>122</v>
      </c>
      <c r="C174" s="3">
        <v>125</v>
      </c>
      <c r="D174" s="3">
        <v>125</v>
      </c>
      <c r="E174" s="3">
        <v>115</v>
      </c>
      <c r="F174" s="3">
        <v>100</v>
      </c>
      <c r="G174" s="3">
        <v>80</v>
      </c>
      <c r="H174" s="3">
        <v>63</v>
      </c>
      <c r="I174" s="3">
        <v>49</v>
      </c>
      <c r="J174" s="3"/>
    </row>
    <row r="175" spans="1:10" x14ac:dyDescent="0.35">
      <c r="A175" s="2" t="s">
        <v>107</v>
      </c>
      <c r="B175" s="3">
        <v>713</v>
      </c>
      <c r="C175" s="3">
        <v>937</v>
      </c>
      <c r="D175" s="3">
        <v>1238</v>
      </c>
      <c r="E175" s="3">
        <v>1450</v>
      </c>
      <c r="F175" s="3">
        <v>1673</v>
      </c>
      <c r="G175" s="3">
        <v>1916</v>
      </c>
      <c r="H175" s="3">
        <v>1870</v>
      </c>
      <c r="I175" s="3">
        <v>1817</v>
      </c>
      <c r="J175" s="3"/>
    </row>
    <row r="176" spans="1:10" ht="15" thickBot="1" x14ac:dyDescent="0.4">
      <c r="A176" s="6" t="s">
        <v>119</v>
      </c>
      <c r="B176" s="7">
        <f t="shared" ref="B176:H176" si="35">+SUM(B173:B175)</f>
        <v>3011</v>
      </c>
      <c r="C176" s="7">
        <f t="shared" si="35"/>
        <v>3520</v>
      </c>
      <c r="D176" s="7">
        <f t="shared" si="35"/>
        <v>3989</v>
      </c>
      <c r="E176" s="7">
        <f t="shared" si="35"/>
        <v>4454</v>
      </c>
      <c r="F176" s="7">
        <f t="shared" si="35"/>
        <v>4744</v>
      </c>
      <c r="G176" s="7">
        <f t="shared" si="35"/>
        <v>4866</v>
      </c>
      <c r="H176" s="7">
        <f t="shared" si="35"/>
        <v>4904</v>
      </c>
      <c r="I176" s="7">
        <f>+SUM(I173:I175)</f>
        <v>4791</v>
      </c>
      <c r="J176" s="7"/>
    </row>
    <row r="177" spans="1:10" ht="15" thickTop="1" x14ac:dyDescent="0.35">
      <c r="A177" s="12" t="s">
        <v>110</v>
      </c>
      <c r="B177" s="13">
        <f>+B176-B31</f>
        <v>0</v>
      </c>
      <c r="C177" s="13">
        <f t="shared" ref="C177:I177" si="36">+C176-C31</f>
        <v>0</v>
      </c>
      <c r="D177" s="13">
        <f t="shared" si="36"/>
        <v>0</v>
      </c>
      <c r="E177" s="13">
        <f t="shared" si="36"/>
        <v>0</v>
      </c>
      <c r="F177" s="13">
        <f t="shared" si="36"/>
        <v>0</v>
      </c>
      <c r="G177" s="13">
        <f t="shared" si="36"/>
        <v>0</v>
      </c>
      <c r="H177" s="13">
        <f t="shared" si="36"/>
        <v>0</v>
      </c>
      <c r="I177" s="13">
        <f t="shared" si="36"/>
        <v>0</v>
      </c>
      <c r="J177" s="13"/>
    </row>
    <row r="178" spans="1:10" x14ac:dyDescent="0.35">
      <c r="A178" s="1" t="s">
        <v>121</v>
      </c>
    </row>
    <row r="179" spans="1:10" x14ac:dyDescent="0.35">
      <c r="A179" s="2" t="s">
        <v>99</v>
      </c>
      <c r="B179" s="3">
        <v>208</v>
      </c>
      <c r="C179" s="3">
        <v>242</v>
      </c>
      <c r="D179" s="3">
        <v>223</v>
      </c>
      <c r="E179" s="3">
        <v>196</v>
      </c>
      <c r="F179" s="3">
        <v>117</v>
      </c>
      <c r="G179" s="3">
        <v>110</v>
      </c>
      <c r="H179" s="3">
        <v>98</v>
      </c>
      <c r="I179" s="3">
        <v>146</v>
      </c>
      <c r="J179" s="3"/>
    </row>
    <row r="180" spans="1:10" x14ac:dyDescent="0.35">
      <c r="A180" s="2" t="s">
        <v>100</v>
      </c>
      <c r="B180" s="3">
        <v>0</v>
      </c>
      <c r="C180" s="3">
        <v>234</v>
      </c>
      <c r="D180" s="3">
        <v>173</v>
      </c>
      <c r="E180" s="3">
        <v>240</v>
      </c>
      <c r="F180" s="3">
        <v>233</v>
      </c>
      <c r="G180" s="3">
        <v>139</v>
      </c>
      <c r="H180" s="3">
        <v>153</v>
      </c>
      <c r="I180" s="3">
        <v>197</v>
      </c>
      <c r="J180" s="3"/>
    </row>
    <row r="181" spans="1:10" x14ac:dyDescent="0.35">
      <c r="A181" s="2" t="s">
        <v>101</v>
      </c>
      <c r="B181" s="3">
        <v>69</v>
      </c>
      <c r="C181" s="3">
        <v>44</v>
      </c>
      <c r="D181" s="3">
        <v>51</v>
      </c>
      <c r="E181" s="3">
        <v>76</v>
      </c>
      <c r="F181" s="3">
        <v>49</v>
      </c>
      <c r="G181" s="3">
        <v>28</v>
      </c>
      <c r="H181" s="3">
        <v>94</v>
      </c>
      <c r="I181" s="3">
        <v>78</v>
      </c>
      <c r="J181" s="3"/>
    </row>
    <row r="182" spans="1:10" x14ac:dyDescent="0.35">
      <c r="A182" s="2" t="s">
        <v>117</v>
      </c>
      <c r="B182" s="3">
        <v>0</v>
      </c>
      <c r="C182" s="3">
        <v>62</v>
      </c>
      <c r="D182" s="3">
        <v>59</v>
      </c>
      <c r="E182" s="3">
        <v>49</v>
      </c>
      <c r="F182" s="3">
        <v>47</v>
      </c>
      <c r="G182" s="3">
        <v>41</v>
      </c>
      <c r="H182" s="3">
        <v>54</v>
      </c>
      <c r="I182" s="3">
        <v>56</v>
      </c>
      <c r="J182" s="3"/>
    </row>
    <row r="183" spans="1:10" x14ac:dyDescent="0.35">
      <c r="A183" s="59" t="s">
        <v>218</v>
      </c>
      <c r="B183" s="3">
        <f>216+20+15+37</f>
        <v>288</v>
      </c>
      <c r="C183" s="3">
        <v>0</v>
      </c>
      <c r="D183" s="3">
        <v>0</v>
      </c>
      <c r="E183" s="3">
        <v>0</v>
      </c>
      <c r="F183" s="3">
        <v>0</v>
      </c>
      <c r="G183" s="3">
        <v>0</v>
      </c>
      <c r="H183" s="3">
        <v>0</v>
      </c>
      <c r="I183" s="3">
        <v>0</v>
      </c>
      <c r="J183" s="3"/>
    </row>
    <row r="184" spans="1:10" x14ac:dyDescent="0.35">
      <c r="A184" s="2" t="s">
        <v>106</v>
      </c>
      <c r="B184" s="3">
        <v>225</v>
      </c>
      <c r="C184" s="3">
        <v>258</v>
      </c>
      <c r="D184" s="3">
        <v>278</v>
      </c>
      <c r="E184" s="3">
        <v>286</v>
      </c>
      <c r="F184" s="3">
        <v>278</v>
      </c>
      <c r="G184" s="3">
        <v>438</v>
      </c>
      <c r="H184" s="3">
        <v>278</v>
      </c>
      <c r="I184" s="3">
        <v>222</v>
      </c>
      <c r="J184" s="3"/>
    </row>
    <row r="185" spans="1:10" x14ac:dyDescent="0.35">
      <c r="A185" s="4" t="s">
        <v>118</v>
      </c>
      <c r="B185" s="5">
        <f t="shared" ref="B185:I185" si="37">+SUM(B179:B184)</f>
        <v>790</v>
      </c>
      <c r="C185" s="5">
        <f t="shared" si="37"/>
        <v>840</v>
      </c>
      <c r="D185" s="5">
        <f t="shared" si="37"/>
        <v>784</v>
      </c>
      <c r="E185" s="5">
        <f t="shared" si="37"/>
        <v>847</v>
      </c>
      <c r="F185" s="5">
        <f t="shared" si="37"/>
        <v>724</v>
      </c>
      <c r="G185" s="5">
        <f t="shared" si="37"/>
        <v>756</v>
      </c>
      <c r="H185" s="5">
        <f t="shared" si="37"/>
        <v>677</v>
      </c>
      <c r="I185" s="5">
        <f t="shared" si="37"/>
        <v>699</v>
      </c>
      <c r="J185" s="5"/>
    </row>
    <row r="186" spans="1:10" x14ac:dyDescent="0.35">
      <c r="A186" s="2" t="s">
        <v>103</v>
      </c>
      <c r="B186" s="3">
        <v>69</v>
      </c>
      <c r="C186" s="3">
        <v>39</v>
      </c>
      <c r="D186" s="3">
        <v>30</v>
      </c>
      <c r="E186" s="3">
        <v>22</v>
      </c>
      <c r="F186" s="3">
        <v>18</v>
      </c>
      <c r="G186" s="3">
        <v>12</v>
      </c>
      <c r="H186" s="3">
        <v>7</v>
      </c>
      <c r="I186" s="3">
        <v>9</v>
      </c>
      <c r="J186" s="3"/>
    </row>
    <row r="187" spans="1:10" x14ac:dyDescent="0.35">
      <c r="A187" s="2" t="s">
        <v>107</v>
      </c>
      <c r="B187" s="56">
        <f t="shared" ref="B187:H187" si="38">-(SUM(B185:B186)+B82)</f>
        <v>104</v>
      </c>
      <c r="C187" s="56">
        <f t="shared" si="38"/>
        <v>264</v>
      </c>
      <c r="D187" s="56">
        <f t="shared" si="38"/>
        <v>291</v>
      </c>
      <c r="E187" s="56">
        <f t="shared" si="38"/>
        <v>159</v>
      </c>
      <c r="F187" s="56">
        <f t="shared" si="38"/>
        <v>377</v>
      </c>
      <c r="G187" s="56">
        <f t="shared" si="38"/>
        <v>318</v>
      </c>
      <c r="H187" s="56">
        <f t="shared" si="38"/>
        <v>11</v>
      </c>
      <c r="I187" s="56">
        <f>-(SUM(I185:I186)+I82)</f>
        <v>50</v>
      </c>
      <c r="J187" s="56"/>
    </row>
    <row r="188" spans="1:10" ht="15" thickBot="1" x14ac:dyDescent="0.4">
      <c r="A188" s="6" t="s">
        <v>122</v>
      </c>
      <c r="B188" s="7">
        <f t="shared" ref="B188:H188" si="39">+SUM(B185:B187)</f>
        <v>963</v>
      </c>
      <c r="C188" s="7">
        <f t="shared" si="39"/>
        <v>1143</v>
      </c>
      <c r="D188" s="7">
        <f t="shared" si="39"/>
        <v>1105</v>
      </c>
      <c r="E188" s="7">
        <f t="shared" si="39"/>
        <v>1028</v>
      </c>
      <c r="F188" s="7">
        <f t="shared" si="39"/>
        <v>1119</v>
      </c>
      <c r="G188" s="7">
        <f t="shared" si="39"/>
        <v>1086</v>
      </c>
      <c r="H188" s="7">
        <f t="shared" si="39"/>
        <v>695</v>
      </c>
      <c r="I188" s="7">
        <f>+SUM(I185:I187)</f>
        <v>758</v>
      </c>
      <c r="J188" s="7"/>
    </row>
    <row r="189" spans="1:10" ht="15" thickTop="1" x14ac:dyDescent="0.35">
      <c r="A189" s="12" t="s">
        <v>110</v>
      </c>
      <c r="B189" s="13">
        <f t="shared" ref="B189:H189" si="40">+B188+B82</f>
        <v>0</v>
      </c>
      <c r="C189" s="13">
        <f t="shared" si="40"/>
        <v>0</v>
      </c>
      <c r="D189" s="13">
        <f t="shared" si="40"/>
        <v>0</v>
      </c>
      <c r="E189" s="13">
        <f t="shared" si="40"/>
        <v>0</v>
      </c>
      <c r="F189" s="13">
        <f t="shared" si="40"/>
        <v>0</v>
      </c>
      <c r="G189" s="13">
        <f t="shared" si="40"/>
        <v>0</v>
      </c>
      <c r="H189" s="13">
        <f t="shared" si="40"/>
        <v>0</v>
      </c>
      <c r="I189" s="13">
        <f>+I188+I82</f>
        <v>0</v>
      </c>
      <c r="J189" s="13"/>
    </row>
    <row r="190" spans="1:10" x14ac:dyDescent="0.35">
      <c r="A190" s="1" t="s">
        <v>123</v>
      </c>
    </row>
    <row r="191" spans="1:10" x14ac:dyDescent="0.35">
      <c r="A191" s="2" t="s">
        <v>99</v>
      </c>
      <c r="B191" s="3">
        <v>121</v>
      </c>
      <c r="C191" s="3">
        <v>133</v>
      </c>
      <c r="D191" s="3">
        <v>140</v>
      </c>
      <c r="E191" s="3">
        <v>160</v>
      </c>
      <c r="F191" s="3">
        <v>149</v>
      </c>
      <c r="G191" s="3">
        <v>148</v>
      </c>
      <c r="H191" s="3">
        <v>130</v>
      </c>
      <c r="I191" s="3">
        <v>124</v>
      </c>
      <c r="J191" s="3"/>
    </row>
    <row r="192" spans="1:10" x14ac:dyDescent="0.35">
      <c r="A192" s="2" t="s">
        <v>100</v>
      </c>
      <c r="B192" s="3">
        <v>0</v>
      </c>
      <c r="C192" s="3">
        <v>85</v>
      </c>
      <c r="D192" s="3">
        <v>106</v>
      </c>
      <c r="E192" s="3">
        <v>116</v>
      </c>
      <c r="F192" s="3">
        <v>111</v>
      </c>
      <c r="G192" s="3">
        <v>132</v>
      </c>
      <c r="H192" s="3">
        <v>136</v>
      </c>
      <c r="I192" s="3">
        <v>134</v>
      </c>
      <c r="J192" s="3"/>
    </row>
    <row r="193" spans="1:10" x14ac:dyDescent="0.35">
      <c r="A193" s="2" t="s">
        <v>101</v>
      </c>
      <c r="B193" s="3">
        <v>46</v>
      </c>
      <c r="C193" s="3">
        <v>48</v>
      </c>
      <c r="D193" s="3">
        <v>54</v>
      </c>
      <c r="E193" s="3">
        <v>56</v>
      </c>
      <c r="F193" s="3">
        <v>50</v>
      </c>
      <c r="G193" s="3">
        <v>44</v>
      </c>
      <c r="H193" s="3">
        <v>46</v>
      </c>
      <c r="I193" s="3">
        <v>41</v>
      </c>
      <c r="J193" s="3"/>
    </row>
    <row r="194" spans="1:10" x14ac:dyDescent="0.35">
      <c r="A194" s="2" t="s">
        <v>105</v>
      </c>
      <c r="B194" s="3">
        <v>0</v>
      </c>
      <c r="C194" s="3">
        <v>42</v>
      </c>
      <c r="D194" s="3">
        <v>54</v>
      </c>
      <c r="E194" s="3">
        <v>55</v>
      </c>
      <c r="F194" s="3">
        <v>53</v>
      </c>
      <c r="G194" s="3">
        <v>46</v>
      </c>
      <c r="H194" s="3">
        <v>43</v>
      </c>
      <c r="I194" s="3">
        <v>42</v>
      </c>
      <c r="J194" s="3"/>
    </row>
    <row r="195" spans="1:10" x14ac:dyDescent="0.35">
      <c r="A195" s="59" t="s">
        <v>218</v>
      </c>
      <c r="B195" s="3">
        <f>75+12+22+27</f>
        <v>136</v>
      </c>
      <c r="C195" s="3">
        <v>0</v>
      </c>
      <c r="D195" s="3">
        <v>0</v>
      </c>
      <c r="E195" s="3">
        <v>0</v>
      </c>
      <c r="F195" s="3">
        <v>0</v>
      </c>
      <c r="G195" s="3">
        <v>0</v>
      </c>
      <c r="H195" s="3">
        <v>0</v>
      </c>
      <c r="I195" s="3">
        <v>0</v>
      </c>
      <c r="J195" s="3"/>
    </row>
    <row r="196" spans="1:10" x14ac:dyDescent="0.35">
      <c r="A196" s="2" t="s">
        <v>106</v>
      </c>
      <c r="B196" s="3">
        <v>210</v>
      </c>
      <c r="C196" s="3">
        <v>230</v>
      </c>
      <c r="D196" s="3">
        <v>233</v>
      </c>
      <c r="E196" s="3">
        <v>217</v>
      </c>
      <c r="F196" s="3">
        <v>195</v>
      </c>
      <c r="G196" s="3">
        <v>214</v>
      </c>
      <c r="H196" s="3">
        <v>222</v>
      </c>
      <c r="I196" s="3">
        <v>220</v>
      </c>
      <c r="J196" s="3"/>
    </row>
    <row r="197" spans="1:10" x14ac:dyDescent="0.35">
      <c r="A197" s="4" t="s">
        <v>118</v>
      </c>
      <c r="B197" s="5">
        <f>+SUM(B191:B196)</f>
        <v>513</v>
      </c>
      <c r="C197" s="5">
        <f t="shared" ref="C197:I197" si="41">+SUM(C191:C196)</f>
        <v>538</v>
      </c>
      <c r="D197" s="5">
        <f t="shared" si="41"/>
        <v>587</v>
      </c>
      <c r="E197" s="5">
        <v>604</v>
      </c>
      <c r="F197" s="5">
        <f t="shared" si="41"/>
        <v>558</v>
      </c>
      <c r="G197" s="5">
        <f t="shared" si="41"/>
        <v>584</v>
      </c>
      <c r="H197" s="5">
        <f t="shared" si="41"/>
        <v>577</v>
      </c>
      <c r="I197" s="5">
        <f t="shared" si="41"/>
        <v>561</v>
      </c>
      <c r="J197" s="5"/>
    </row>
    <row r="198" spans="1:10" x14ac:dyDescent="0.35">
      <c r="A198" s="2" t="s">
        <v>103</v>
      </c>
      <c r="B198" s="3">
        <v>18</v>
      </c>
      <c r="C198" s="3">
        <v>27</v>
      </c>
      <c r="D198" s="3">
        <v>28</v>
      </c>
      <c r="E198" s="3">
        <v>33</v>
      </c>
      <c r="F198" s="3">
        <v>31</v>
      </c>
      <c r="G198" s="3">
        <v>25</v>
      </c>
      <c r="H198" s="3">
        <v>26</v>
      </c>
      <c r="I198" s="3">
        <v>22</v>
      </c>
      <c r="J198" s="3"/>
    </row>
    <row r="199" spans="1:10" x14ac:dyDescent="0.35">
      <c r="A199" s="2" t="s">
        <v>107</v>
      </c>
      <c r="B199" s="3">
        <v>75</v>
      </c>
      <c r="C199" s="3">
        <v>84</v>
      </c>
      <c r="D199" s="3">
        <v>91</v>
      </c>
      <c r="E199" s="3">
        <v>110</v>
      </c>
      <c r="F199" s="3">
        <v>116</v>
      </c>
      <c r="G199" s="3">
        <v>112</v>
      </c>
      <c r="H199" s="3">
        <v>141</v>
      </c>
      <c r="I199" s="3">
        <v>134</v>
      </c>
      <c r="J199" s="3"/>
    </row>
    <row r="200" spans="1:10" ht="15" thickBot="1" x14ac:dyDescent="0.4">
      <c r="A200" s="6" t="s">
        <v>124</v>
      </c>
      <c r="B200" s="7">
        <f t="shared" ref="B200:H200" si="42">+SUM(B197:B199)</f>
        <v>606</v>
      </c>
      <c r="C200" s="7">
        <f t="shared" si="42"/>
        <v>649</v>
      </c>
      <c r="D200" s="7">
        <f t="shared" si="42"/>
        <v>706</v>
      </c>
      <c r="E200" s="7">
        <f t="shared" si="42"/>
        <v>747</v>
      </c>
      <c r="F200" s="7">
        <f t="shared" si="42"/>
        <v>705</v>
      </c>
      <c r="G200" s="7">
        <f t="shared" si="42"/>
        <v>721</v>
      </c>
      <c r="H200" s="7">
        <f t="shared" si="42"/>
        <v>744</v>
      </c>
      <c r="I200" s="7">
        <f>+SUM(I197:I199)</f>
        <v>717</v>
      </c>
      <c r="J200" s="7"/>
    </row>
    <row r="201" spans="1:10" ht="15" thickTop="1" x14ac:dyDescent="0.35">
      <c r="A201" s="12" t="s">
        <v>110</v>
      </c>
      <c r="B201" s="13">
        <f t="shared" ref="B201:H201" si="43">+B200-B66</f>
        <v>0</v>
      </c>
      <c r="C201" s="13">
        <f t="shared" si="43"/>
        <v>0</v>
      </c>
      <c r="D201" s="13">
        <f t="shared" si="43"/>
        <v>0</v>
      </c>
      <c r="E201" s="13">
        <f t="shared" si="43"/>
        <v>0</v>
      </c>
      <c r="F201" s="13">
        <f t="shared" si="43"/>
        <v>0</v>
      </c>
      <c r="G201" s="13">
        <f t="shared" si="43"/>
        <v>0</v>
      </c>
      <c r="H201" s="13">
        <f t="shared" si="43"/>
        <v>0</v>
      </c>
      <c r="I201" s="13">
        <f>+I200-I66</f>
        <v>0</v>
      </c>
      <c r="J201" s="13"/>
    </row>
    <row r="202" spans="1:10" x14ac:dyDescent="0.35">
      <c r="A202" s="14" t="s">
        <v>125</v>
      </c>
      <c r="B202" s="14"/>
      <c r="C202" s="14"/>
      <c r="D202" s="14"/>
      <c r="E202" s="14"/>
      <c r="F202" s="14"/>
      <c r="G202" s="14"/>
      <c r="H202" s="14"/>
      <c r="I202" s="14"/>
      <c r="J202" s="14"/>
    </row>
    <row r="203" spans="1:10" x14ac:dyDescent="0.35">
      <c r="A203" s="26" t="s">
        <v>126</v>
      </c>
    </row>
    <row r="204" spans="1:10" x14ac:dyDescent="0.35">
      <c r="A204" s="30" t="s">
        <v>99</v>
      </c>
      <c r="B204" s="60">
        <v>0.12</v>
      </c>
      <c r="C204" s="60">
        <v>0.08</v>
      </c>
      <c r="D204" s="60">
        <v>0.03</v>
      </c>
      <c r="E204" s="60">
        <v>-0.02</v>
      </c>
      <c r="F204" s="60">
        <v>7.0000000000000007E-2</v>
      </c>
      <c r="G204" s="60">
        <v>-0.09</v>
      </c>
      <c r="H204" s="60">
        <v>0.19</v>
      </c>
      <c r="I204" s="60">
        <v>7.0000000000000007E-2</v>
      </c>
      <c r="J204" s="60"/>
    </row>
    <row r="205" spans="1:10" x14ac:dyDescent="0.35">
      <c r="A205" s="28" t="s">
        <v>112</v>
      </c>
      <c r="B205" s="61">
        <v>0.14000000000000001</v>
      </c>
      <c r="C205" s="61">
        <v>0.1</v>
      </c>
      <c r="D205" s="61">
        <v>0.04</v>
      </c>
      <c r="E205" s="61">
        <v>-0.04</v>
      </c>
      <c r="F205" s="61">
        <v>0.08</v>
      </c>
      <c r="G205" s="61">
        <v>-7.0000000000000007E-2</v>
      </c>
      <c r="H205" s="61">
        <v>0.25</v>
      </c>
      <c r="I205" s="61">
        <v>0.05</v>
      </c>
      <c r="J205" s="61"/>
    </row>
    <row r="206" spans="1:10" x14ac:dyDescent="0.35">
      <c r="A206" s="28" t="s">
        <v>113</v>
      </c>
      <c r="B206" s="61">
        <v>0.12</v>
      </c>
      <c r="C206" s="61">
        <v>0.08</v>
      </c>
      <c r="D206" s="61">
        <v>0.03</v>
      </c>
      <c r="E206" s="61">
        <v>0.01</v>
      </c>
      <c r="F206" s="61">
        <v>7.0000000000000007E-2</v>
      </c>
      <c r="G206" s="61">
        <v>-0.12</v>
      </c>
      <c r="H206" s="61">
        <v>0.08</v>
      </c>
      <c r="I206" s="61">
        <v>0.09</v>
      </c>
      <c r="J206" s="61"/>
    </row>
    <row r="207" spans="1:10" x14ac:dyDescent="0.35">
      <c r="A207" s="28" t="s">
        <v>114</v>
      </c>
      <c r="B207" s="61">
        <v>-0.05</v>
      </c>
      <c r="C207" s="61">
        <v>-0.13</v>
      </c>
      <c r="D207" s="61">
        <v>-0.1</v>
      </c>
      <c r="E207" s="61">
        <v>-0.08</v>
      </c>
      <c r="F207" s="61">
        <v>0</v>
      </c>
      <c r="G207" s="61">
        <v>-0.14000000000000001</v>
      </c>
      <c r="H207" s="61">
        <v>-0.02</v>
      </c>
      <c r="I207" s="61">
        <v>0.25</v>
      </c>
      <c r="J207" s="61"/>
    </row>
    <row r="208" spans="1:10" x14ac:dyDescent="0.35">
      <c r="A208" s="30" t="s">
        <v>100</v>
      </c>
      <c r="B208" s="34"/>
      <c r="C208" s="34"/>
      <c r="D208" s="60">
        <v>0.1</v>
      </c>
      <c r="E208" s="60">
        <v>0.09</v>
      </c>
      <c r="F208" s="60">
        <v>0.11</v>
      </c>
      <c r="G208" s="60">
        <v>-0.01</v>
      </c>
      <c r="H208" s="60">
        <v>0.17</v>
      </c>
      <c r="I208" s="60">
        <v>0.12</v>
      </c>
      <c r="J208" s="60"/>
    </row>
    <row r="209" spans="1:10" x14ac:dyDescent="0.35">
      <c r="A209" s="28" t="s">
        <v>112</v>
      </c>
      <c r="B209" s="62"/>
      <c r="C209" s="62"/>
      <c r="D209" s="61">
        <v>0.08</v>
      </c>
      <c r="E209" s="61">
        <v>0.06</v>
      </c>
      <c r="F209" s="61">
        <v>0.12</v>
      </c>
      <c r="G209" s="61">
        <v>-0.03</v>
      </c>
      <c r="H209" s="61">
        <v>0.13</v>
      </c>
      <c r="I209" s="61">
        <v>0.09</v>
      </c>
      <c r="J209" s="61"/>
    </row>
    <row r="210" spans="1:10" x14ac:dyDescent="0.35">
      <c r="A210" s="28" t="s">
        <v>113</v>
      </c>
      <c r="B210" s="62"/>
      <c r="C210" s="62"/>
      <c r="D210" s="61">
        <v>0.17</v>
      </c>
      <c r="E210" s="61">
        <v>0.16</v>
      </c>
      <c r="F210" s="61">
        <v>0.09</v>
      </c>
      <c r="G210" s="61">
        <v>0.02</v>
      </c>
      <c r="H210" s="61">
        <v>0.25</v>
      </c>
      <c r="I210" s="61">
        <v>0.16</v>
      </c>
      <c r="J210" s="61"/>
    </row>
    <row r="211" spans="1:10" x14ac:dyDescent="0.35">
      <c r="A211" s="28" t="s">
        <v>114</v>
      </c>
      <c r="B211" s="62"/>
      <c r="C211" s="62"/>
      <c r="D211" s="61">
        <v>7.0000000000000007E-2</v>
      </c>
      <c r="E211" s="61">
        <v>0.06</v>
      </c>
      <c r="F211" s="61">
        <v>0.05</v>
      </c>
      <c r="G211" s="61">
        <v>-0.03</v>
      </c>
      <c r="H211" s="61">
        <v>0.19</v>
      </c>
      <c r="I211" s="61">
        <v>0.17</v>
      </c>
      <c r="J211" s="61"/>
    </row>
    <row r="212" spans="1:10" x14ac:dyDescent="0.35">
      <c r="A212" s="30" t="s">
        <v>101</v>
      </c>
      <c r="B212" s="60">
        <v>0.19</v>
      </c>
      <c r="C212" s="60">
        <v>0.27</v>
      </c>
      <c r="D212" s="60">
        <v>0.17</v>
      </c>
      <c r="E212" s="60">
        <v>0.18</v>
      </c>
      <c r="F212" s="60">
        <v>0.24</v>
      </c>
      <c r="G212" s="60">
        <v>0.11</v>
      </c>
      <c r="H212" s="60">
        <v>0.19</v>
      </c>
      <c r="I212" s="60">
        <v>-0.13</v>
      </c>
      <c r="J212" s="60"/>
    </row>
    <row r="213" spans="1:10" x14ac:dyDescent="0.35">
      <c r="A213" s="28" t="s">
        <v>112</v>
      </c>
      <c r="B213" s="61">
        <v>0.28000000000000003</v>
      </c>
      <c r="C213" s="61">
        <v>0.33</v>
      </c>
      <c r="D213" s="61">
        <v>0.18</v>
      </c>
      <c r="E213" s="61">
        <v>0.16</v>
      </c>
      <c r="F213" s="61">
        <v>0.25</v>
      </c>
      <c r="G213" s="61">
        <v>0.12</v>
      </c>
      <c r="H213" s="61">
        <v>0.19</v>
      </c>
      <c r="I213" s="61">
        <v>-0.1</v>
      </c>
      <c r="J213" s="61"/>
    </row>
    <row r="214" spans="1:10" x14ac:dyDescent="0.35">
      <c r="A214" s="28" t="s">
        <v>113</v>
      </c>
      <c r="B214" s="61">
        <v>7.0000000000000007E-2</v>
      </c>
      <c r="C214" s="61">
        <v>0.17</v>
      </c>
      <c r="D214" s="61">
        <v>0.18</v>
      </c>
      <c r="E214" s="61">
        <v>0.23</v>
      </c>
      <c r="F214" s="61">
        <v>0.23</v>
      </c>
      <c r="G214" s="61">
        <v>0.08</v>
      </c>
      <c r="H214" s="61">
        <v>0.19</v>
      </c>
      <c r="I214" s="61">
        <v>-0.21</v>
      </c>
      <c r="J214" s="61"/>
    </row>
    <row r="215" spans="1:10" x14ac:dyDescent="0.35">
      <c r="A215" s="28" t="s">
        <v>114</v>
      </c>
      <c r="B215" s="61">
        <v>0.01</v>
      </c>
      <c r="C215" s="61">
        <v>7.0000000000000007E-2</v>
      </c>
      <c r="D215" s="61">
        <v>0.03</v>
      </c>
      <c r="E215" s="61">
        <v>-0.01</v>
      </c>
      <c r="F215" s="61">
        <v>0.08</v>
      </c>
      <c r="G215" s="61">
        <v>0.11</v>
      </c>
      <c r="H215" s="61">
        <v>0.26</v>
      </c>
      <c r="I215" s="61">
        <v>-0.06</v>
      </c>
      <c r="J215" s="61"/>
    </row>
    <row r="216" spans="1:10" x14ac:dyDescent="0.35">
      <c r="A216" s="30" t="s">
        <v>105</v>
      </c>
      <c r="B216" s="34"/>
      <c r="C216" s="34"/>
      <c r="D216" s="60">
        <v>0.13</v>
      </c>
      <c r="E216" s="60">
        <v>0.1</v>
      </c>
      <c r="F216" s="60">
        <v>0.13</v>
      </c>
      <c r="G216" s="60">
        <v>0.01</v>
      </c>
      <c r="H216" s="60">
        <v>0.08</v>
      </c>
      <c r="I216" s="60">
        <v>0.16</v>
      </c>
      <c r="J216" s="60"/>
    </row>
    <row r="217" spans="1:10" x14ac:dyDescent="0.35">
      <c r="A217" s="28" t="s">
        <v>112</v>
      </c>
      <c r="B217" s="62"/>
      <c r="C217" s="62"/>
      <c r="D217" s="61">
        <v>0.16</v>
      </c>
      <c r="E217" s="61">
        <v>0.09</v>
      </c>
      <c r="F217" s="61">
        <v>0.12</v>
      </c>
      <c r="G217" s="61">
        <v>0</v>
      </c>
      <c r="H217" s="61">
        <v>0.08</v>
      </c>
      <c r="I217" s="61">
        <v>0.17</v>
      </c>
      <c r="J217" s="61"/>
    </row>
    <row r="218" spans="1:10" x14ac:dyDescent="0.35">
      <c r="A218" s="28" t="s">
        <v>113</v>
      </c>
      <c r="B218" s="62"/>
      <c r="C218" s="62"/>
      <c r="D218" s="61">
        <v>0.09</v>
      </c>
      <c r="E218" s="61">
        <v>0.15</v>
      </c>
      <c r="F218" s="61">
        <v>0.15</v>
      </c>
      <c r="G218" s="61">
        <v>0.03</v>
      </c>
      <c r="H218" s="61">
        <v>0.19</v>
      </c>
      <c r="I218" s="61">
        <v>0.12</v>
      </c>
      <c r="J218" s="61"/>
    </row>
    <row r="219" spans="1:10" x14ac:dyDescent="0.35">
      <c r="A219" s="28" t="s">
        <v>114</v>
      </c>
      <c r="B219" s="62"/>
      <c r="C219" s="62"/>
      <c r="D219" s="61">
        <v>-0.01</v>
      </c>
      <c r="E219" s="61">
        <v>-0.08</v>
      </c>
      <c r="F219" s="61">
        <v>0.08</v>
      </c>
      <c r="G219" s="61">
        <v>-0.04</v>
      </c>
      <c r="H219" s="61">
        <v>-0.09</v>
      </c>
      <c r="I219" s="61">
        <v>0.28000000000000003</v>
      </c>
      <c r="J219" s="61"/>
    </row>
    <row r="220" spans="1:10" x14ac:dyDescent="0.35">
      <c r="A220" s="30" t="s">
        <v>214</v>
      </c>
      <c r="B220" s="60">
        <v>0.21</v>
      </c>
      <c r="C220" s="60">
        <v>0.14000000000000001</v>
      </c>
      <c r="D220" s="60"/>
      <c r="E220" s="60"/>
      <c r="F220" s="60"/>
      <c r="G220" s="60"/>
      <c r="H220" s="60"/>
      <c r="I220" s="60"/>
      <c r="J220" s="60"/>
    </row>
    <row r="221" spans="1:10" x14ac:dyDescent="0.35">
      <c r="A221" s="28" t="s">
        <v>112</v>
      </c>
      <c r="B221" s="61">
        <v>0.25</v>
      </c>
      <c r="C221" s="61">
        <v>0.14000000000000001</v>
      </c>
      <c r="D221" s="61"/>
      <c r="E221" s="61"/>
      <c r="F221" s="61"/>
      <c r="G221" s="61"/>
      <c r="H221" s="61"/>
      <c r="I221" s="61"/>
      <c r="J221" s="61"/>
    </row>
    <row r="222" spans="1:10" x14ac:dyDescent="0.35">
      <c r="A222" s="28" t="s">
        <v>113</v>
      </c>
      <c r="B222" s="61">
        <v>0.14000000000000001</v>
      </c>
      <c r="C222" s="61">
        <v>0.18</v>
      </c>
      <c r="D222" s="61"/>
      <c r="E222" s="61"/>
      <c r="F222" s="61"/>
      <c r="G222" s="61"/>
      <c r="H222" s="61"/>
      <c r="I222" s="61"/>
      <c r="J222" s="61"/>
    </row>
    <row r="223" spans="1:10" x14ac:dyDescent="0.35">
      <c r="A223" s="28" t="s">
        <v>114</v>
      </c>
      <c r="B223" s="61">
        <v>0.15</v>
      </c>
      <c r="C223" s="61">
        <v>0.08</v>
      </c>
      <c r="D223" s="61"/>
      <c r="E223" s="61"/>
      <c r="F223" s="61"/>
      <c r="G223" s="61"/>
      <c r="H223" s="61"/>
      <c r="I223" s="61"/>
      <c r="J223" s="61"/>
    </row>
    <row r="224" spans="1:10" x14ac:dyDescent="0.35">
      <c r="A224" s="30" t="s">
        <v>215</v>
      </c>
      <c r="B224" s="60">
        <v>0.15</v>
      </c>
      <c r="C224" s="60">
        <v>0.17</v>
      </c>
      <c r="D224" s="60"/>
      <c r="E224" s="60"/>
      <c r="F224" s="60"/>
      <c r="G224" s="60"/>
      <c r="H224" s="60"/>
      <c r="I224" s="60"/>
      <c r="J224" s="60"/>
    </row>
    <row r="225" spans="1:10" x14ac:dyDescent="0.35">
      <c r="A225" s="28" t="s">
        <v>112</v>
      </c>
      <c r="B225" s="61">
        <v>0.22</v>
      </c>
      <c r="C225" s="61">
        <v>0.23</v>
      </c>
      <c r="D225" s="60"/>
      <c r="E225" s="60"/>
      <c r="F225" s="61"/>
      <c r="G225" s="61"/>
      <c r="H225" s="61"/>
      <c r="I225" s="61"/>
      <c r="J225" s="61"/>
    </row>
    <row r="226" spans="1:10" x14ac:dyDescent="0.35">
      <c r="A226" s="28" t="s">
        <v>113</v>
      </c>
      <c r="B226" s="61">
        <v>0.05</v>
      </c>
      <c r="C226" s="61">
        <v>0.09</v>
      </c>
      <c r="D226" s="60"/>
      <c r="E226" s="60"/>
      <c r="F226" s="61"/>
      <c r="G226" s="61"/>
      <c r="H226" s="61"/>
      <c r="I226" s="61"/>
      <c r="J226" s="61"/>
    </row>
    <row r="227" spans="1:10" x14ac:dyDescent="0.35">
      <c r="A227" s="28" t="s">
        <v>114</v>
      </c>
      <c r="B227" s="61">
        <v>0.14000000000000001</v>
      </c>
      <c r="C227" s="61">
        <v>7.0000000000000007E-2</v>
      </c>
      <c r="D227" s="60"/>
      <c r="E227" s="60"/>
      <c r="F227" s="61"/>
      <c r="G227" s="61"/>
      <c r="H227" s="61"/>
      <c r="I227" s="61"/>
      <c r="J227" s="61"/>
    </row>
    <row r="228" spans="1:10" x14ac:dyDescent="0.35">
      <c r="A228" s="30" t="s">
        <v>216</v>
      </c>
      <c r="B228" s="60">
        <v>0.09</v>
      </c>
      <c r="C228" s="60">
        <v>0.22</v>
      </c>
      <c r="D228" s="60"/>
      <c r="E228" s="60"/>
      <c r="F228" s="60"/>
      <c r="G228" s="60"/>
      <c r="H228" s="60"/>
      <c r="I228" s="60"/>
      <c r="J228" s="60"/>
    </row>
    <row r="229" spans="1:10" x14ac:dyDescent="0.35">
      <c r="A229" s="28" t="s">
        <v>112</v>
      </c>
      <c r="B229" s="61">
        <v>0.23</v>
      </c>
      <c r="C229" s="61">
        <v>0.34</v>
      </c>
      <c r="D229" s="60"/>
      <c r="E229" s="60"/>
      <c r="F229" s="61"/>
      <c r="G229" s="61"/>
      <c r="H229" s="61"/>
      <c r="I229" s="61"/>
      <c r="J229" s="61"/>
    </row>
    <row r="230" spans="1:10" x14ac:dyDescent="0.35">
      <c r="A230" s="28" t="s">
        <v>113</v>
      </c>
      <c r="B230" s="61">
        <v>-0.08</v>
      </c>
      <c r="C230" s="61">
        <v>0.05</v>
      </c>
      <c r="D230" s="60"/>
      <c r="E230" s="60"/>
      <c r="F230" s="61"/>
      <c r="G230" s="61"/>
      <c r="H230" s="61"/>
      <c r="I230" s="61"/>
      <c r="J230" s="61"/>
    </row>
    <row r="231" spans="1:10" x14ac:dyDescent="0.35">
      <c r="A231" s="28" t="s">
        <v>114</v>
      </c>
      <c r="B231" s="61">
        <v>-0.06</v>
      </c>
      <c r="C231" s="61">
        <v>0.03</v>
      </c>
      <c r="D231" s="60"/>
      <c r="E231" s="60"/>
      <c r="F231" s="61"/>
      <c r="G231" s="61"/>
      <c r="H231" s="61"/>
      <c r="I231" s="61"/>
      <c r="J231" s="61"/>
    </row>
    <row r="232" spans="1:10" x14ac:dyDescent="0.35">
      <c r="A232" s="30" t="s">
        <v>217</v>
      </c>
      <c r="B232" s="60">
        <v>0.08</v>
      </c>
      <c r="C232" s="60">
        <v>0.13</v>
      </c>
      <c r="D232" s="60"/>
      <c r="E232" s="60"/>
      <c r="F232" s="60"/>
      <c r="G232" s="60"/>
      <c r="H232" s="60"/>
      <c r="I232" s="60"/>
      <c r="J232" s="60"/>
    </row>
    <row r="233" spans="1:10" x14ac:dyDescent="0.35">
      <c r="A233" s="28" t="s">
        <v>112</v>
      </c>
      <c r="B233" s="61">
        <v>0.09</v>
      </c>
      <c r="C233" s="61">
        <v>0.14000000000000001</v>
      </c>
      <c r="D233" s="60"/>
      <c r="E233" s="60"/>
      <c r="F233" s="61"/>
      <c r="G233" s="61"/>
      <c r="H233" s="61"/>
      <c r="I233" s="61"/>
      <c r="J233" s="61"/>
    </row>
    <row r="234" spans="1:10" x14ac:dyDescent="0.35">
      <c r="A234" s="28" t="s">
        <v>113</v>
      </c>
      <c r="B234" s="61">
        <v>0.05</v>
      </c>
      <c r="C234" s="61">
        <v>0.11</v>
      </c>
      <c r="D234" s="60"/>
      <c r="E234" s="60"/>
      <c r="F234" s="61"/>
      <c r="G234" s="61"/>
      <c r="H234" s="61"/>
      <c r="I234" s="61"/>
      <c r="J234" s="61"/>
    </row>
    <row r="235" spans="1:10" x14ac:dyDescent="0.35">
      <c r="A235" s="28" t="s">
        <v>114</v>
      </c>
      <c r="B235" s="61">
        <v>0.05</v>
      </c>
      <c r="C235" s="61">
        <v>0.11</v>
      </c>
      <c r="D235" s="60"/>
      <c r="E235" s="60"/>
      <c r="F235" s="61"/>
      <c r="G235" s="61"/>
      <c r="H235" s="61"/>
      <c r="I235" s="61"/>
      <c r="J235" s="61"/>
    </row>
    <row r="236" spans="1:10" x14ac:dyDescent="0.35">
      <c r="A236" s="30" t="s">
        <v>106</v>
      </c>
      <c r="B236" s="60">
        <v>-0.02</v>
      </c>
      <c r="C236" s="60">
        <v>-0.3</v>
      </c>
      <c r="D236" s="60">
        <v>0.02</v>
      </c>
      <c r="E236" s="60">
        <v>0.12</v>
      </c>
      <c r="F236" s="60">
        <v>-0.53</v>
      </c>
      <c r="G236" s="60">
        <v>-0.26</v>
      </c>
      <c r="H236" s="60">
        <v>-0.17</v>
      </c>
      <c r="I236" s="60">
        <v>3.02</v>
      </c>
      <c r="J236" s="60"/>
    </row>
    <row r="237" spans="1:10" x14ac:dyDescent="0.35">
      <c r="A237" s="31" t="s">
        <v>102</v>
      </c>
      <c r="B237" s="63">
        <v>0.14000000000000001</v>
      </c>
      <c r="C237" s="63">
        <v>0.13</v>
      </c>
      <c r="D237" s="63">
        <v>0.08</v>
      </c>
      <c r="E237" s="63">
        <v>0.05</v>
      </c>
      <c r="F237" s="63">
        <v>0.11</v>
      </c>
      <c r="G237" s="63">
        <v>-0.02</v>
      </c>
      <c r="H237" s="63">
        <v>0.17</v>
      </c>
      <c r="I237" s="63">
        <v>0.06</v>
      </c>
      <c r="J237" s="63"/>
    </row>
    <row r="238" spans="1:10" x14ac:dyDescent="0.35">
      <c r="A238" s="30" t="s">
        <v>103</v>
      </c>
      <c r="B238" s="60">
        <v>0.21</v>
      </c>
      <c r="C238" s="60">
        <v>0.02</v>
      </c>
      <c r="D238" s="60">
        <v>0.06</v>
      </c>
      <c r="E238" s="60">
        <v>-0.11</v>
      </c>
      <c r="F238" s="60">
        <v>0.03</v>
      </c>
      <c r="G238" s="60">
        <v>-0.01</v>
      </c>
      <c r="H238" s="60">
        <v>0.16</v>
      </c>
      <c r="I238" s="60">
        <v>7.0000000000000007E-2</v>
      </c>
      <c r="J238" s="60"/>
    </row>
    <row r="239" spans="1:10" x14ac:dyDescent="0.35">
      <c r="A239" s="28" t="s">
        <v>112</v>
      </c>
      <c r="B239" s="62">
        <v>0</v>
      </c>
      <c r="C239" s="62">
        <v>0</v>
      </c>
      <c r="D239" s="62">
        <v>0</v>
      </c>
      <c r="E239" s="62">
        <v>0</v>
      </c>
      <c r="F239" s="61">
        <v>0.05</v>
      </c>
      <c r="G239" s="61">
        <v>0.01</v>
      </c>
      <c r="H239" s="61">
        <v>0.17</v>
      </c>
      <c r="I239" s="61">
        <v>0.06</v>
      </c>
      <c r="J239" s="61"/>
    </row>
    <row r="240" spans="1:10" x14ac:dyDescent="0.35">
      <c r="A240" s="28" t="s">
        <v>113</v>
      </c>
      <c r="B240" s="62">
        <v>0</v>
      </c>
      <c r="C240" s="62">
        <v>0</v>
      </c>
      <c r="D240" s="62">
        <v>0</v>
      </c>
      <c r="E240" s="62">
        <v>0</v>
      </c>
      <c r="F240" s="61">
        <v>-0.17</v>
      </c>
      <c r="G240" s="61">
        <v>-0.22</v>
      </c>
      <c r="H240" s="61">
        <v>0.13</v>
      </c>
      <c r="I240" s="61">
        <v>-0.03</v>
      </c>
      <c r="J240" s="61"/>
    </row>
    <row r="241" spans="1:10" x14ac:dyDescent="0.35">
      <c r="A241" s="28" t="s">
        <v>114</v>
      </c>
      <c r="B241" s="62">
        <v>0</v>
      </c>
      <c r="C241" s="62">
        <v>0</v>
      </c>
      <c r="D241" s="62">
        <v>0</v>
      </c>
      <c r="E241" s="62">
        <v>0</v>
      </c>
      <c r="F241" s="61">
        <v>-0.13</v>
      </c>
      <c r="G241" s="61">
        <v>0.08</v>
      </c>
      <c r="H241" s="61">
        <v>0.14000000000000001</v>
      </c>
      <c r="I241" s="61">
        <v>-0.16</v>
      </c>
      <c r="J241" s="61"/>
    </row>
    <row r="242" spans="1:10" x14ac:dyDescent="0.35">
      <c r="A242" s="28" t="s">
        <v>120</v>
      </c>
      <c r="B242" s="62">
        <v>0</v>
      </c>
      <c r="C242" s="62">
        <v>0</v>
      </c>
      <c r="D242" s="62">
        <v>0</v>
      </c>
      <c r="E242" s="62">
        <v>0</v>
      </c>
      <c r="F242" s="61">
        <v>0.04</v>
      </c>
      <c r="G242" s="61">
        <v>-0.14000000000000001</v>
      </c>
      <c r="H242" s="61">
        <v>-0.01</v>
      </c>
      <c r="I242" s="61">
        <v>0.42</v>
      </c>
      <c r="J242" s="61"/>
    </row>
    <row r="243" spans="1:10" x14ac:dyDescent="0.35">
      <c r="A243" s="27" t="s">
        <v>107</v>
      </c>
      <c r="B243" s="61">
        <v>0</v>
      </c>
      <c r="C243" s="61">
        <v>0</v>
      </c>
      <c r="D243" s="61">
        <v>0</v>
      </c>
      <c r="E243" s="61">
        <v>0</v>
      </c>
      <c r="F243" s="61">
        <v>0</v>
      </c>
      <c r="G243" s="61">
        <v>0</v>
      </c>
      <c r="H243" s="61">
        <v>0</v>
      </c>
      <c r="I243" s="61">
        <v>0</v>
      </c>
      <c r="J243" s="61"/>
    </row>
    <row r="244" spans="1:10" ht="15" thickBot="1" x14ac:dyDescent="0.4">
      <c r="A244" s="29" t="s">
        <v>104</v>
      </c>
      <c r="B244" s="64">
        <v>0.14000000000000001</v>
      </c>
      <c r="C244" s="64">
        <v>0.12</v>
      </c>
      <c r="D244" s="64">
        <v>0.08</v>
      </c>
      <c r="E244" s="64">
        <v>0.04</v>
      </c>
      <c r="F244" s="64">
        <v>0.11</v>
      </c>
      <c r="G244" s="64">
        <v>-0.02</v>
      </c>
      <c r="H244" s="64">
        <v>0.17</v>
      </c>
      <c r="I244" s="64">
        <v>0.06</v>
      </c>
      <c r="J244" s="64"/>
    </row>
    <row r="245" spans="1:10"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3"/>
  <sheetViews>
    <sheetView topLeftCell="A9" workbookViewId="0">
      <selection activeCell="U12" sqref="U12"/>
    </sheetView>
  </sheetViews>
  <sheetFormatPr defaultRowHeight="14.5" x14ac:dyDescent="0.35"/>
  <cols>
    <col min="1" max="1" width="48.81640625" customWidth="1"/>
    <col min="2" max="14" width="11.81640625" customWidth="1"/>
    <col min="15" max="15" width="54" bestFit="1" customWidth="1"/>
    <col min="16" max="16" width="91" customWidth="1"/>
    <col min="18" max="18" width="48.81640625" customWidth="1"/>
    <col min="19" max="21" width="11.81640625" customWidth="1"/>
  </cols>
  <sheetData>
    <row r="1" spans="1:21" ht="60" customHeight="1" x14ac:dyDescent="0.6">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 t="shared" ref="L1:N1" si="1">+K1+1</f>
        <v>2025</v>
      </c>
      <c r="M1" s="32">
        <f t="shared" si="1"/>
        <v>2026</v>
      </c>
      <c r="N1" s="32">
        <f t="shared" si="1"/>
        <v>2027</v>
      </c>
      <c r="P1" s="65"/>
      <c r="Q1" s="19"/>
      <c r="R1" s="66" t="s">
        <v>219</v>
      </c>
      <c r="S1" s="67"/>
      <c r="T1" s="67"/>
      <c r="U1" s="67"/>
    </row>
    <row r="2" spans="1:21" x14ac:dyDescent="0.35">
      <c r="A2" s="33" t="s">
        <v>127</v>
      </c>
      <c r="B2" s="33"/>
      <c r="C2" s="33"/>
      <c r="D2" s="33"/>
      <c r="E2" s="33"/>
      <c r="F2" s="33"/>
      <c r="G2" s="33"/>
      <c r="H2" s="33"/>
      <c r="I2" s="33"/>
      <c r="J2" s="32"/>
      <c r="K2" s="32"/>
      <c r="L2" s="32"/>
      <c r="M2" s="32"/>
      <c r="N2" s="32"/>
      <c r="P2" s="65"/>
      <c r="R2" s="33" t="s">
        <v>127</v>
      </c>
      <c r="S2" s="67" t="s">
        <v>220</v>
      </c>
      <c r="T2" s="67" t="s">
        <v>221</v>
      </c>
      <c r="U2" s="67" t="s">
        <v>222</v>
      </c>
    </row>
    <row r="3" spans="1:21" x14ac:dyDescent="0.35">
      <c r="A3" s="34" t="s">
        <v>138</v>
      </c>
      <c r="B3" s="9">
        <f t="shared" ref="B3:N3" si="2">B21+B52+B85+B118+B151+B170+B177+B196</f>
        <v>30601</v>
      </c>
      <c r="C3" s="9">
        <f t="shared" si="2"/>
        <v>32376</v>
      </c>
      <c r="D3" s="9">
        <f t="shared" si="2"/>
        <v>34350</v>
      </c>
      <c r="E3" s="9">
        <f t="shared" si="2"/>
        <v>36397</v>
      </c>
      <c r="F3" s="9">
        <f t="shared" si="2"/>
        <v>39117</v>
      </c>
      <c r="G3" s="9">
        <f t="shared" si="2"/>
        <v>37403</v>
      </c>
      <c r="H3" s="9">
        <f t="shared" si="2"/>
        <v>44538</v>
      </c>
      <c r="I3" s="9">
        <f t="shared" si="2"/>
        <v>46710</v>
      </c>
      <c r="J3" s="9">
        <f t="shared" si="2"/>
        <v>51161.196732827491</v>
      </c>
      <c r="K3" s="9">
        <f t="shared" si="2"/>
        <v>56149.628448212214</v>
      </c>
      <c r="L3" s="9">
        <f t="shared" si="2"/>
        <v>61748.324895947138</v>
      </c>
      <c r="M3" s="9">
        <f t="shared" si="2"/>
        <v>68041.307074738812</v>
      </c>
      <c r="N3" s="9">
        <f t="shared" si="2"/>
        <v>75125.32780467211</v>
      </c>
      <c r="P3" s="87" t="s">
        <v>223</v>
      </c>
      <c r="R3" s="34" t="s">
        <v>138</v>
      </c>
      <c r="S3" s="9">
        <f>S9+S21+S33+S45+S57+S63+S69</f>
        <v>51161.196732827491</v>
      </c>
      <c r="T3" s="9">
        <f>T9+T21+T33+T45+T57+T170+T63+T69</f>
        <v>51217</v>
      </c>
      <c r="U3" s="9">
        <f>T3-S3</f>
        <v>55.80326717250864</v>
      </c>
    </row>
    <row r="4" spans="1:21" x14ac:dyDescent="0.35">
      <c r="A4" s="35" t="s">
        <v>128</v>
      </c>
      <c r="B4" s="40" t="str">
        <f t="shared" ref="B4:H4" si="3">+IFERROR(B3/A3-1,"nm")</f>
        <v>nm</v>
      </c>
      <c r="C4" s="40">
        <f t="shared" si="3"/>
        <v>5.8004640371229765E-2</v>
      </c>
      <c r="D4" s="40">
        <f t="shared" si="3"/>
        <v>6.0971089696071123E-2</v>
      </c>
      <c r="E4" s="40">
        <f t="shared" si="3"/>
        <v>5.95924308588065E-2</v>
      </c>
      <c r="F4" s="40">
        <f t="shared" si="3"/>
        <v>7.4731433909388079E-2</v>
      </c>
      <c r="G4" s="40">
        <f t="shared" si="3"/>
        <v>-4.3817266150267153E-2</v>
      </c>
      <c r="H4" s="40">
        <f t="shared" si="3"/>
        <v>0.19076009945726269</v>
      </c>
      <c r="I4" s="40">
        <f>+IFERROR(I3/H3-1,"nm")</f>
        <v>4.8767344739323759E-2</v>
      </c>
      <c r="J4" s="40">
        <f t="shared" ref="J4:N4" si="4">+IFERROR(J3/I3-1,"nm")</f>
        <v>9.5294299568132956E-2</v>
      </c>
      <c r="K4" s="40">
        <f>+IFERROR(K3/J3-1,"nm")</f>
        <v>9.7504203066929085E-2</v>
      </c>
      <c r="L4" s="40">
        <f t="shared" si="4"/>
        <v>9.971030267633374E-2</v>
      </c>
      <c r="M4" s="40">
        <f t="shared" si="4"/>
        <v>0.10191340719600173</v>
      </c>
      <c r="N4" s="40">
        <f t="shared" si="4"/>
        <v>0.10411353094895692</v>
      </c>
      <c r="P4" s="87"/>
      <c r="R4" s="35" t="s">
        <v>128</v>
      </c>
      <c r="S4" s="40">
        <f>J4</f>
        <v>9.5294299568132956E-2</v>
      </c>
      <c r="T4" s="40">
        <f>+IFERROR(T3/I3-1,"nm")</f>
        <v>9.6488974523656568E-2</v>
      </c>
      <c r="U4" s="40">
        <f t="shared" ref="U4" si="5">T4-S4</f>
        <v>1.1946749555236114E-3</v>
      </c>
    </row>
    <row r="5" spans="1:21" x14ac:dyDescent="0.35">
      <c r="A5" s="34" t="s">
        <v>129</v>
      </c>
      <c r="B5" s="9">
        <f t="shared" ref="B5:N5" si="6">B35+B68+B101+B134+B153+B171+B179+B198</f>
        <v>4839</v>
      </c>
      <c r="C5" s="9">
        <f t="shared" si="6"/>
        <v>5291</v>
      </c>
      <c r="D5" s="9">
        <f t="shared" si="6"/>
        <v>5651</v>
      </c>
      <c r="E5" s="9">
        <f t="shared" si="6"/>
        <v>5126</v>
      </c>
      <c r="F5" s="9">
        <f t="shared" si="6"/>
        <v>5555</v>
      </c>
      <c r="G5" s="9">
        <f t="shared" si="6"/>
        <v>3697</v>
      </c>
      <c r="H5" s="9">
        <f t="shared" si="6"/>
        <v>7667</v>
      </c>
      <c r="I5" s="9">
        <f t="shared" si="6"/>
        <v>7573</v>
      </c>
      <c r="J5" s="9">
        <f t="shared" si="6"/>
        <v>8333.862146776255</v>
      </c>
      <c r="K5" s="9">
        <f t="shared" si="6"/>
        <v>9295.3036424229431</v>
      </c>
      <c r="L5" s="9">
        <f t="shared" si="6"/>
        <v>10506.365089327977</v>
      </c>
      <c r="M5" s="9">
        <f t="shared" si="6"/>
        <v>12027.820240230596</v>
      </c>
      <c r="N5" s="9">
        <f t="shared" si="6"/>
        <v>13934.954580390924</v>
      </c>
      <c r="P5" s="87"/>
      <c r="R5" s="34" t="s">
        <v>133</v>
      </c>
      <c r="S5" s="9">
        <f>S17+S29+S41+S53+S59+S65+S71</f>
        <v>7590.1530613957257</v>
      </c>
      <c r="T5" s="9">
        <f>T17+T29+T41+T53+T59+T65+T71</f>
        <v>6195</v>
      </c>
      <c r="U5" s="9">
        <f>T5-S5</f>
        <v>-1395.1530613957257</v>
      </c>
    </row>
    <row r="6" spans="1:21" x14ac:dyDescent="0.35">
      <c r="A6" s="35" t="s">
        <v>128</v>
      </c>
      <c r="B6" s="40" t="str">
        <f t="shared" ref="B6:H6" si="7">+IFERROR(B5/A5-1,"nm")</f>
        <v>nm</v>
      </c>
      <c r="C6" s="40">
        <f t="shared" si="7"/>
        <v>9.3407728869601137E-2</v>
      </c>
      <c r="D6" s="40">
        <f t="shared" si="7"/>
        <v>6.8040068040068125E-2</v>
      </c>
      <c r="E6" s="40">
        <f t="shared" si="7"/>
        <v>-9.2903910812245583E-2</v>
      </c>
      <c r="F6" s="40">
        <f t="shared" si="7"/>
        <v>8.3690987124463545E-2</v>
      </c>
      <c r="G6" s="40">
        <f t="shared" si="7"/>
        <v>-0.3344734473447345</v>
      </c>
      <c r="H6" s="40">
        <f t="shared" si="7"/>
        <v>1.0738436570192049</v>
      </c>
      <c r="I6" s="40">
        <f>+IFERROR(I5/H5-1,"nm")</f>
        <v>-1.2260336507108338E-2</v>
      </c>
      <c r="J6" s="40">
        <f t="shared" ref="J6:N6" si="8">+IFERROR(J5/I5-1,"nm")</f>
        <v>0.10047037459081665</v>
      </c>
      <c r="K6" s="40">
        <f>+IFERROR(K5/J5-1,"nm")</f>
        <v>0.1153656586482652</v>
      </c>
      <c r="L6" s="40">
        <f t="shared" si="8"/>
        <v>0.13028745412660392</v>
      </c>
      <c r="M6" s="40">
        <f t="shared" si="8"/>
        <v>0.14481270524741841</v>
      </c>
      <c r="N6" s="40">
        <f t="shared" si="8"/>
        <v>0.15856026296280645</v>
      </c>
      <c r="P6" s="87"/>
      <c r="R6" s="35" t="s">
        <v>128</v>
      </c>
      <c r="S6" s="40">
        <f>J12</f>
        <v>0.10708183509272606</v>
      </c>
      <c r="T6" s="40">
        <f>+IFERROR(T5/I11-1,"nm")</f>
        <v>-9.6411901983663895E-2</v>
      </c>
      <c r="U6" s="40">
        <f>T6-S6</f>
        <v>-0.20349373707638996</v>
      </c>
    </row>
    <row r="7" spans="1:21" x14ac:dyDescent="0.35">
      <c r="A7" s="35" t="s">
        <v>130</v>
      </c>
      <c r="B7" s="40">
        <f t="shared" ref="B7:I7" si="9">+IFERROR(B5/B$3,"nm")</f>
        <v>0.15813208718669325</v>
      </c>
      <c r="C7" s="40">
        <f t="shared" si="9"/>
        <v>0.16342352359772672</v>
      </c>
      <c r="D7" s="40">
        <f t="shared" si="9"/>
        <v>0.16451237263464338</v>
      </c>
      <c r="E7" s="40">
        <f t="shared" si="9"/>
        <v>0.14083578316894249</v>
      </c>
      <c r="F7" s="40">
        <f t="shared" si="9"/>
        <v>0.14200986783240024</v>
      </c>
      <c r="G7" s="40">
        <f t="shared" si="9"/>
        <v>9.8842338849824879E-2</v>
      </c>
      <c r="H7" s="40">
        <f t="shared" si="9"/>
        <v>0.17214513449189456</v>
      </c>
      <c r="I7" s="40">
        <f t="shared" si="9"/>
        <v>0.16212802397773496</v>
      </c>
      <c r="J7" s="40">
        <f>+IFERROR(J5/J3,"nm")</f>
        <v>0.16289419870878133</v>
      </c>
      <c r="K7" s="40">
        <f>+IFERROR(K5/K3,"nm")</f>
        <v>0.16554523866522403</v>
      </c>
      <c r="L7" s="40">
        <f>+IFERROR(L5/L3,"nm")</f>
        <v>0.17014817984183997</v>
      </c>
      <c r="M7" s="40">
        <f>+IFERROR(M5/M3,"nm")</f>
        <v>0.17677232783048746</v>
      </c>
      <c r="N7" s="40">
        <f>+IFERROR(N5/N3,"nm")</f>
        <v>0.1854894346234626</v>
      </c>
      <c r="P7" s="87"/>
      <c r="R7" s="35" t="s">
        <v>130</v>
      </c>
      <c r="S7" s="40">
        <f t="shared" ref="S7" si="10">J13</f>
        <v>0.14835761370150907</v>
      </c>
      <c r="T7" s="40">
        <f>+IFERROR(T5/T$3,"nm")</f>
        <v>0.12095593260050373</v>
      </c>
      <c r="U7" s="40">
        <f>T7-S7</f>
        <v>-2.740168110100534E-2</v>
      </c>
    </row>
    <row r="8" spans="1:21" x14ac:dyDescent="0.35">
      <c r="A8" s="34" t="s">
        <v>131</v>
      </c>
      <c r="B8" s="9">
        <f t="shared" ref="B8:N8" si="11">B38+B71+B104+B137+B156+B172+B182+B201</f>
        <v>606</v>
      </c>
      <c r="C8" s="9">
        <f t="shared" si="11"/>
        <v>649</v>
      </c>
      <c r="D8" s="9">
        <f t="shared" si="11"/>
        <v>706</v>
      </c>
      <c r="E8" s="9">
        <f t="shared" si="11"/>
        <v>747</v>
      </c>
      <c r="F8" s="9">
        <f t="shared" si="11"/>
        <v>705</v>
      </c>
      <c r="G8" s="9">
        <f t="shared" si="11"/>
        <v>721</v>
      </c>
      <c r="H8" s="9">
        <f t="shared" si="11"/>
        <v>744</v>
      </c>
      <c r="I8" s="9">
        <f t="shared" si="11"/>
        <v>717</v>
      </c>
      <c r="J8" s="9">
        <f t="shared" si="11"/>
        <v>743.70908538052549</v>
      </c>
      <c r="K8" s="9">
        <f t="shared" si="11"/>
        <v>772.60648735436496</v>
      </c>
      <c r="L8" s="9">
        <f t="shared" si="11"/>
        <v>803.85460035546657</v>
      </c>
      <c r="M8" s="9">
        <f t="shared" si="11"/>
        <v>837.6287125521884</v>
      </c>
      <c r="N8" s="9">
        <f t="shared" si="11"/>
        <v>874.11805250243083</v>
      </c>
      <c r="P8" s="87"/>
      <c r="R8" s="36" t="s">
        <v>99</v>
      </c>
      <c r="S8" s="32"/>
      <c r="T8" s="32"/>
      <c r="U8" s="32"/>
    </row>
    <row r="9" spans="1:21" x14ac:dyDescent="0.35">
      <c r="A9" s="35" t="s">
        <v>128</v>
      </c>
      <c r="B9" s="40" t="str">
        <f t="shared" ref="B9:N9" si="12">+IFERROR(B8/A8-1,"nm")</f>
        <v>nm</v>
      </c>
      <c r="C9" s="40">
        <f t="shared" si="12"/>
        <v>7.0957095709570872E-2</v>
      </c>
      <c r="D9" s="40">
        <f t="shared" si="12"/>
        <v>8.7827426810477727E-2</v>
      </c>
      <c r="E9" s="40">
        <f t="shared" si="12"/>
        <v>5.8073654390934815E-2</v>
      </c>
      <c r="F9" s="40">
        <f t="shared" si="12"/>
        <v>-5.6224899598393607E-2</v>
      </c>
      <c r="G9" s="40">
        <f t="shared" si="12"/>
        <v>2.2695035460992941E-2</v>
      </c>
      <c r="H9" s="40">
        <f t="shared" si="12"/>
        <v>3.1900138696255187E-2</v>
      </c>
      <c r="I9" s="40">
        <f t="shared" si="12"/>
        <v>-3.6290322580645129E-2</v>
      </c>
      <c r="J9" s="40">
        <f t="shared" si="12"/>
        <v>3.7251165105335327E-2</v>
      </c>
      <c r="K9" s="40">
        <f>+IFERROR(K8/J8-1,"nm")</f>
        <v>3.8855787218269322E-2</v>
      </c>
      <c r="L9" s="40">
        <f t="shared" si="12"/>
        <v>4.0445056458306983E-2</v>
      </c>
      <c r="M9" s="40">
        <f t="shared" si="12"/>
        <v>4.201520048748475E-2</v>
      </c>
      <c r="N9" s="40">
        <f t="shared" si="12"/>
        <v>4.3562666135288364E-2</v>
      </c>
      <c r="P9" s="87"/>
      <c r="R9" s="9" t="s">
        <v>135</v>
      </c>
      <c r="S9" s="9">
        <f>S11+S13+S15</f>
        <v>19461.588333333337</v>
      </c>
      <c r="T9" s="9">
        <f>T11+T13+T15</f>
        <v>21608</v>
      </c>
      <c r="U9" s="9">
        <f t="shared" ref="U9:U19" si="13">T9-S9</f>
        <v>2146.4116666666632</v>
      </c>
    </row>
    <row r="10" spans="1:21" x14ac:dyDescent="0.35">
      <c r="A10" s="35" t="s">
        <v>132</v>
      </c>
      <c r="B10" s="40">
        <f t="shared" ref="B10:I10" si="14">+IFERROR(B8/B$3,"nm")</f>
        <v>1.9803274402797295E-2</v>
      </c>
      <c r="C10" s="40">
        <f t="shared" si="14"/>
        <v>2.0045712873733631E-2</v>
      </c>
      <c r="D10" s="40">
        <f t="shared" si="14"/>
        <v>2.0553129548762736E-2</v>
      </c>
      <c r="E10" s="40">
        <f t="shared" si="14"/>
        <v>2.0523669533203285E-2</v>
      </c>
      <c r="F10" s="40">
        <f t="shared" si="14"/>
        <v>1.8022854513382928E-2</v>
      </c>
      <c r="G10" s="40">
        <f t="shared" si="14"/>
        <v>1.9276528620698875E-2</v>
      </c>
      <c r="H10" s="40">
        <f t="shared" si="14"/>
        <v>1.6704836319547355E-2</v>
      </c>
      <c r="I10" s="40">
        <f t="shared" si="14"/>
        <v>1.5350032113037893E-2</v>
      </c>
      <c r="J10" s="40">
        <f>+IFERROR(J8/J3,"nm")</f>
        <v>1.4536585007272238E-2</v>
      </c>
      <c r="K10" s="40">
        <f>+IFERROR(K8/K3,"nm")</f>
        <v>1.3759779159838136E-2</v>
      </c>
      <c r="L10" s="40">
        <f>+IFERROR(L8/L3,"nm")</f>
        <v>1.3018241413188971E-2</v>
      </c>
      <c r="M10" s="40">
        <f>+IFERROR(M8/M3,"nm")</f>
        <v>1.2310591147699579E-2</v>
      </c>
      <c r="N10" s="40">
        <f>+IFERROR(N8/N3,"nm")</f>
        <v>1.1635464071120748E-2</v>
      </c>
      <c r="P10" s="87"/>
      <c r="R10" s="37" t="s">
        <v>128</v>
      </c>
      <c r="S10" s="40">
        <f>J22</f>
        <v>6.0403657894259055E-2</v>
      </c>
      <c r="T10" s="40">
        <f>+IFERROR(T9/I21-1,"nm")</f>
        <v>0.17735520078461287</v>
      </c>
      <c r="U10" s="40">
        <f t="shared" si="13"/>
        <v>0.11695154289035381</v>
      </c>
    </row>
    <row r="11" spans="1:21" x14ac:dyDescent="0.35">
      <c r="A11" s="34" t="s">
        <v>133</v>
      </c>
      <c r="B11" s="9">
        <f>B5-B8</f>
        <v>4233</v>
      </c>
      <c r="C11" s="9">
        <f t="shared" ref="C11:N11" si="15">C5-C8</f>
        <v>4642</v>
      </c>
      <c r="D11" s="9">
        <f t="shared" si="15"/>
        <v>4945</v>
      </c>
      <c r="E11" s="9">
        <f t="shared" si="15"/>
        <v>4379</v>
      </c>
      <c r="F11" s="9">
        <f t="shared" si="15"/>
        <v>4850</v>
      </c>
      <c r="G11" s="9">
        <f t="shared" si="15"/>
        <v>2976</v>
      </c>
      <c r="H11" s="9">
        <f t="shared" si="15"/>
        <v>6923</v>
      </c>
      <c r="I11" s="9">
        <f>I5-I8</f>
        <v>6856</v>
      </c>
      <c r="J11" s="9">
        <f>J5-J8</f>
        <v>7590.1530613957293</v>
      </c>
      <c r="K11" s="9">
        <f t="shared" si="15"/>
        <v>8522.6971550685776</v>
      </c>
      <c r="L11" s="9">
        <f t="shared" si="15"/>
        <v>9702.5104889725117</v>
      </c>
      <c r="M11" s="9">
        <f t="shared" si="15"/>
        <v>11190.191527678408</v>
      </c>
      <c r="N11" s="9">
        <f t="shared" si="15"/>
        <v>13060.836527888494</v>
      </c>
      <c r="P11" s="87"/>
      <c r="R11" s="38" t="s">
        <v>112</v>
      </c>
      <c r="S11" s="3">
        <f>J23</f>
        <v>12982.060000000001</v>
      </c>
      <c r="T11" s="3">
        <v>14897</v>
      </c>
      <c r="U11" s="3">
        <f t="shared" si="13"/>
        <v>1914.9399999999987</v>
      </c>
    </row>
    <row r="12" spans="1:21" x14ac:dyDescent="0.35">
      <c r="A12" s="35" t="s">
        <v>128</v>
      </c>
      <c r="B12" s="40" t="str">
        <f t="shared" ref="B12:H12" si="16">+IFERROR(B11/A11-1,"nm")</f>
        <v>nm</v>
      </c>
      <c r="C12" s="40">
        <f t="shared" si="16"/>
        <v>9.6621781242617555E-2</v>
      </c>
      <c r="D12" s="40">
        <f t="shared" si="16"/>
        <v>6.5273588970271357E-2</v>
      </c>
      <c r="E12" s="40">
        <f t="shared" si="16"/>
        <v>-0.11445904954499497</v>
      </c>
      <c r="F12" s="40">
        <f t="shared" si="16"/>
        <v>0.10755880337976698</v>
      </c>
      <c r="G12" s="40">
        <f t="shared" si="16"/>
        <v>-0.38639175257731961</v>
      </c>
      <c r="H12" s="40">
        <f t="shared" si="16"/>
        <v>1.32627688172043</v>
      </c>
      <c r="I12" s="40">
        <f>+IFERROR(I11/H11-1,"nm")</f>
        <v>-9.67788530983682E-3</v>
      </c>
      <c r="J12" s="40">
        <f t="shared" ref="J12:N12" si="17">+IFERROR(J11/I11-1,"nm")</f>
        <v>0.10708183509272606</v>
      </c>
      <c r="K12" s="40">
        <f>+IFERROR(K11/J11-1,"nm")</f>
        <v>0.12286235681014923</v>
      </c>
      <c r="L12" s="40">
        <f t="shared" si="17"/>
        <v>0.13843192036951368</v>
      </c>
      <c r="M12" s="40">
        <f t="shared" si="17"/>
        <v>0.15332949553589614</v>
      </c>
      <c r="N12" s="40">
        <f t="shared" si="17"/>
        <v>0.16716827371391596</v>
      </c>
      <c r="R12" s="37" t="s">
        <v>128</v>
      </c>
      <c r="S12" s="40">
        <f>J24</f>
        <v>6.1666666666666668E-2</v>
      </c>
      <c r="T12" s="40">
        <f>+IFERROR(T11/I23-1,"nm")</f>
        <v>0.21826954530585541</v>
      </c>
      <c r="U12" s="40">
        <f t="shared" si="13"/>
        <v>0.15660287863918873</v>
      </c>
    </row>
    <row r="13" spans="1:21" x14ac:dyDescent="0.35">
      <c r="A13" s="35" t="s">
        <v>130</v>
      </c>
      <c r="B13" s="40">
        <f t="shared" ref="B13:I13" si="18">+IFERROR(B11/B$3,"nm")</f>
        <v>0.13832881278389594</v>
      </c>
      <c r="C13" s="40">
        <f t="shared" si="18"/>
        <v>0.14337781072399308</v>
      </c>
      <c r="D13" s="40">
        <f t="shared" si="18"/>
        <v>0.14395924308588065</v>
      </c>
      <c r="E13" s="40">
        <f t="shared" si="18"/>
        <v>0.12031211363573921</v>
      </c>
      <c r="F13" s="40">
        <f t="shared" si="18"/>
        <v>0.12398701331901731</v>
      </c>
      <c r="G13" s="40">
        <f t="shared" si="18"/>
        <v>7.9565810229126011E-2</v>
      </c>
      <c r="H13" s="40">
        <f t="shared" si="18"/>
        <v>0.1554402981723472</v>
      </c>
      <c r="I13" s="40">
        <f t="shared" si="18"/>
        <v>0.14677799186469706</v>
      </c>
      <c r="J13" s="40">
        <f>+IFERROR(J11/J3,"nm")</f>
        <v>0.14835761370150907</v>
      </c>
      <c r="K13" s="40">
        <f>+IFERROR(K11/K3,"nm")</f>
        <v>0.15178545950538588</v>
      </c>
      <c r="L13" s="40">
        <f>+IFERROR(L11/L3,"nm")</f>
        <v>0.157129938428651</v>
      </c>
      <c r="M13" s="40">
        <f>+IFERROR(M11/M3,"nm")</f>
        <v>0.16446173668278791</v>
      </c>
      <c r="N13" s="40">
        <f>+IFERROR(N11/N3,"nm")</f>
        <v>0.17385397055234186</v>
      </c>
      <c r="P13" s="68" t="s">
        <v>224</v>
      </c>
      <c r="R13" s="38" t="s">
        <v>113</v>
      </c>
      <c r="S13" s="3">
        <f>J27</f>
        <v>5858.1333333333332</v>
      </c>
      <c r="T13" s="3">
        <v>5947</v>
      </c>
      <c r="U13" s="3">
        <f t="shared" si="13"/>
        <v>88.866666666666788</v>
      </c>
    </row>
    <row r="14" spans="1:21" x14ac:dyDescent="0.35">
      <c r="A14" s="34" t="s">
        <v>134</v>
      </c>
      <c r="B14" s="41">
        <f t="shared" ref="B14:N14" si="19">B45+B78+B111+B144+B163+B174+B189+B208</f>
        <v>963</v>
      </c>
      <c r="C14" s="41">
        <f t="shared" si="19"/>
        <v>1143</v>
      </c>
      <c r="D14" s="41">
        <f t="shared" si="19"/>
        <v>1105</v>
      </c>
      <c r="E14" s="41">
        <f t="shared" si="19"/>
        <v>1028</v>
      </c>
      <c r="F14" s="41">
        <f t="shared" si="19"/>
        <v>1119</v>
      </c>
      <c r="G14" s="41">
        <f t="shared" si="19"/>
        <v>1086</v>
      </c>
      <c r="H14" s="41">
        <f t="shared" si="19"/>
        <v>695</v>
      </c>
      <c r="I14" s="41">
        <f t="shared" si="19"/>
        <v>758</v>
      </c>
      <c r="J14" s="41">
        <f t="shared" si="19"/>
        <v>795.18747479454748</v>
      </c>
      <c r="K14" s="41">
        <f t="shared" si="19"/>
        <v>846.35273211741219</v>
      </c>
      <c r="L14" s="41">
        <f t="shared" si="19"/>
        <v>917.15404427060616</v>
      </c>
      <c r="M14" s="41">
        <f t="shared" si="19"/>
        <v>1015.9360265280537</v>
      </c>
      <c r="N14" s="41">
        <f t="shared" si="19"/>
        <v>1155.008622361167</v>
      </c>
      <c r="P14" s="69" t="s">
        <v>225</v>
      </c>
      <c r="R14" s="37" t="s">
        <v>128</v>
      </c>
      <c r="S14" s="40">
        <f>J28</f>
        <v>6.6666666666666666E-2</v>
      </c>
      <c r="T14" s="40">
        <f>+IFERROR(T13/I27-1,"nm")</f>
        <v>8.2847778587035625E-2</v>
      </c>
      <c r="U14" s="40">
        <f t="shared" si="13"/>
        <v>1.618111192036896E-2</v>
      </c>
    </row>
    <row r="15" spans="1:21" x14ac:dyDescent="0.35">
      <c r="A15" s="35" t="s">
        <v>128</v>
      </c>
      <c r="B15" s="40" t="str">
        <f t="shared" ref="B15:H15" si="20">+IFERROR(B14/A14-1,"nm")</f>
        <v>nm</v>
      </c>
      <c r="C15" s="40">
        <f t="shared" si="20"/>
        <v>0.18691588785046731</v>
      </c>
      <c r="D15" s="40">
        <f t="shared" si="20"/>
        <v>-3.3245844269466307E-2</v>
      </c>
      <c r="E15" s="40">
        <f t="shared" si="20"/>
        <v>-6.9683257918552011E-2</v>
      </c>
      <c r="F15" s="40">
        <f t="shared" si="20"/>
        <v>8.8521400778210024E-2</v>
      </c>
      <c r="G15" s="40">
        <f t="shared" si="20"/>
        <v>-2.9490616621983934E-2</v>
      </c>
      <c r="H15" s="40">
        <f t="shared" si="20"/>
        <v>-0.36003683241252304</v>
      </c>
      <c r="I15" s="40">
        <f>+IFERROR(I14/H14-1,"nm")</f>
        <v>9.0647482014388547E-2</v>
      </c>
      <c r="J15" s="40">
        <f t="shared" ref="J15:N15" si="21">+IFERROR(J14/I14-1,"nm")</f>
        <v>4.9059993132648305E-2</v>
      </c>
      <c r="K15" s="40">
        <f>+IFERROR(K14/J14-1,"nm")</f>
        <v>6.4343640895606846E-2</v>
      </c>
      <c r="L15" s="40">
        <f t="shared" si="21"/>
        <v>8.3654615228880624E-2</v>
      </c>
      <c r="M15" s="40">
        <f t="shared" si="21"/>
        <v>0.10770489742102907</v>
      </c>
      <c r="N15" s="40">
        <f t="shared" si="21"/>
        <v>0.13689109570057467</v>
      </c>
      <c r="P15" s="69" t="s">
        <v>226</v>
      </c>
      <c r="R15" s="38" t="s">
        <v>114</v>
      </c>
      <c r="S15" s="3">
        <f>J31</f>
        <v>621.39499999999998</v>
      </c>
      <c r="T15" s="3">
        <v>764</v>
      </c>
      <c r="U15" s="3">
        <f t="shared" si="13"/>
        <v>142.60500000000002</v>
      </c>
    </row>
    <row r="16" spans="1:21" x14ac:dyDescent="0.35">
      <c r="A16" s="35" t="s">
        <v>132</v>
      </c>
      <c r="B16" s="40">
        <f t="shared" ref="B16:I16" si="22">+IFERROR(B14/B$3,"nm")</f>
        <v>3.146955981830659E-2</v>
      </c>
      <c r="C16" s="40">
        <f t="shared" si="22"/>
        <v>3.5303928836174947E-2</v>
      </c>
      <c r="D16" s="40">
        <f t="shared" si="22"/>
        <v>3.2168850072780204E-2</v>
      </c>
      <c r="E16" s="40">
        <f t="shared" si="22"/>
        <v>2.8244086051048164E-2</v>
      </c>
      <c r="F16" s="40">
        <f t="shared" si="22"/>
        <v>2.8606488227624818E-2</v>
      </c>
      <c r="G16" s="40">
        <f t="shared" si="22"/>
        <v>2.9035104136031869E-2</v>
      </c>
      <c r="H16" s="40">
        <f t="shared" si="22"/>
        <v>1.5604652207104046E-2</v>
      </c>
      <c r="I16" s="40">
        <f t="shared" si="22"/>
        <v>1.6227788482123744E-2</v>
      </c>
      <c r="J16" s="40">
        <f>+IFERROR(J14/J3,"nm")</f>
        <v>1.554278487556013E-2</v>
      </c>
      <c r="K16" s="40">
        <f>+IFERROR(K14/K3,"nm")</f>
        <v>1.5073167098478989E-2</v>
      </c>
      <c r="L16" s="40">
        <f>+IFERROR(L14/L3,"nm")</f>
        <v>1.4853099996090805E-2</v>
      </c>
      <c r="M16" s="40">
        <f>+IFERROR(M14/M3,"nm")</f>
        <v>1.4931165643424752E-2</v>
      </c>
      <c r="N16" s="40">
        <f>+IFERROR(N14/N3,"nm")</f>
        <v>1.5374423727830124E-2</v>
      </c>
      <c r="P16" s="69" t="s">
        <v>227</v>
      </c>
      <c r="R16" s="37" t="s">
        <v>128</v>
      </c>
      <c r="S16" s="40">
        <f>J32</f>
        <v>-1.833333333333334E-2</v>
      </c>
      <c r="T16" s="40">
        <f>+IFERROR(T15/I31-1,"nm")</f>
        <v>0.20695102685624023</v>
      </c>
      <c r="U16" s="40">
        <f t="shared" si="13"/>
        <v>0.22528436018957357</v>
      </c>
    </row>
    <row r="17" spans="1:21" x14ac:dyDescent="0.35">
      <c r="A17" s="9" t="s">
        <v>140</v>
      </c>
      <c r="B17" s="41">
        <f t="shared" ref="B17:N17" si="23">B48+B81+B114+B147+B166+B175+B192+B211</f>
        <v>3011</v>
      </c>
      <c r="C17" s="41">
        <f t="shared" si="23"/>
        <v>3520</v>
      </c>
      <c r="D17" s="41">
        <f t="shared" si="23"/>
        <v>3989</v>
      </c>
      <c r="E17" s="41">
        <f t="shared" si="23"/>
        <v>4454</v>
      </c>
      <c r="F17" s="41">
        <f t="shared" si="23"/>
        <v>4744</v>
      </c>
      <c r="G17" s="41">
        <f t="shared" si="23"/>
        <v>4866</v>
      </c>
      <c r="H17" s="41">
        <f t="shared" si="23"/>
        <v>4904</v>
      </c>
      <c r="I17" s="41">
        <f t="shared" si="23"/>
        <v>4791</v>
      </c>
      <c r="J17" s="41">
        <f t="shared" si="23"/>
        <v>5084.1032751319917</v>
      </c>
      <c r="K17" s="41">
        <f t="shared" si="23"/>
        <v>5400.4937249966224</v>
      </c>
      <c r="L17" s="41">
        <f t="shared" si="23"/>
        <v>5741.7806045720627</v>
      </c>
      <c r="M17" s="41">
        <f t="shared" si="23"/>
        <v>6109.7033820189372</v>
      </c>
      <c r="N17" s="41">
        <f t="shared" si="23"/>
        <v>6506.1413400098809</v>
      </c>
      <c r="P17" s="69" t="s">
        <v>228</v>
      </c>
      <c r="R17" s="9" t="s">
        <v>133</v>
      </c>
      <c r="S17" s="9">
        <f>J42</f>
        <v>5202.3281823663274</v>
      </c>
      <c r="T17" s="9">
        <v>5454</v>
      </c>
      <c r="U17" s="9">
        <f t="shared" si="13"/>
        <v>251.67181763367262</v>
      </c>
    </row>
    <row r="18" spans="1:21" x14ac:dyDescent="0.35">
      <c r="A18" s="35" t="s">
        <v>128</v>
      </c>
      <c r="B18" s="40" t="str">
        <f t="shared" ref="B18:H18" si="24">+IFERROR(B17/A17-1,"nm")</f>
        <v>nm</v>
      </c>
      <c r="C18" s="40">
        <f t="shared" si="24"/>
        <v>0.16904682829624718</v>
      </c>
      <c r="D18" s="40">
        <f t="shared" si="24"/>
        <v>0.13323863636363642</v>
      </c>
      <c r="E18" s="40">
        <f t="shared" si="24"/>
        <v>0.11657056906492858</v>
      </c>
      <c r="F18" s="40">
        <f t="shared" si="24"/>
        <v>6.5110013471037176E-2</v>
      </c>
      <c r="G18" s="40">
        <f t="shared" si="24"/>
        <v>2.5716694772343951E-2</v>
      </c>
      <c r="H18" s="40">
        <f t="shared" si="24"/>
        <v>7.8092889436909285E-3</v>
      </c>
      <c r="I18" s="40">
        <f>+IFERROR(I17/H17-1,"nm")</f>
        <v>-2.3042414355628038E-2</v>
      </c>
      <c r="J18" s="40">
        <f t="shared" ref="J18:N18" si="25">+IFERROR(J17/I17-1,"nm")</f>
        <v>6.1177890864535955E-2</v>
      </c>
      <c r="K18" s="40">
        <f>+IFERROR(K17/J17-1,"nm")</f>
        <v>6.2231318433714655E-2</v>
      </c>
      <c r="L18" s="40">
        <f t="shared" si="25"/>
        <v>6.3195495996183793E-2</v>
      </c>
      <c r="M18" s="40">
        <f t="shared" si="25"/>
        <v>6.4078167172376022E-2</v>
      </c>
      <c r="N18" s="40">
        <f t="shared" si="25"/>
        <v>6.4886612852216974E-2</v>
      </c>
      <c r="R18" s="39" t="s">
        <v>128</v>
      </c>
      <c r="S18" s="40">
        <f>J39</f>
        <v>3.5951685873934644E-2</v>
      </c>
      <c r="T18" s="40">
        <f>+IFERROR(T17/I42-1,"nm")</f>
        <v>6.648416112631983E-2</v>
      </c>
      <c r="U18" s="40">
        <f t="shared" si="13"/>
        <v>3.0532475252385186E-2</v>
      </c>
    </row>
    <row r="19" spans="1:21" x14ac:dyDescent="0.35">
      <c r="A19" s="35" t="s">
        <v>132</v>
      </c>
      <c r="B19" s="40">
        <f t="shared" ref="B19:I19" si="26">+IFERROR(B17/B$3,"nm")</f>
        <v>9.8395477271984569E-2</v>
      </c>
      <c r="C19" s="40">
        <f t="shared" si="26"/>
        <v>0.10872251050160613</v>
      </c>
      <c r="D19" s="40">
        <f t="shared" si="26"/>
        <v>0.11612809315866085</v>
      </c>
      <c r="E19" s="40">
        <f t="shared" si="26"/>
        <v>0.12237272302662307</v>
      </c>
      <c r="F19" s="40">
        <f t="shared" si="26"/>
        <v>0.1212771940588491</v>
      </c>
      <c r="G19" s="40">
        <f t="shared" si="26"/>
        <v>0.13009651632222013</v>
      </c>
      <c r="H19" s="40">
        <f t="shared" si="26"/>
        <v>0.11010822219228523</v>
      </c>
      <c r="I19" s="40">
        <f t="shared" si="26"/>
        <v>0.10256904303147078</v>
      </c>
      <c r="J19" s="40">
        <f>+IFERROR(J17/J3,"nm")</f>
        <v>9.9374205448751474E-2</v>
      </c>
      <c r="K19" s="40">
        <f>+IFERROR(K17/K3,"nm")</f>
        <v>9.6180400017741752E-2</v>
      </c>
      <c r="L19" s="40">
        <f>+IFERROR(L17/L3,"nm")</f>
        <v>9.2986823759957982E-2</v>
      </c>
      <c r="M19" s="40">
        <f>+IFERROR(M17/M3,"nm")</f>
        <v>8.9794033135016618E-2</v>
      </c>
      <c r="N19" s="40">
        <f>+IFERROR(N17/N3,"nm")</f>
        <v>8.660383295665644E-2</v>
      </c>
      <c r="R19" s="39" t="s">
        <v>130</v>
      </c>
      <c r="S19" s="40">
        <v>0.27864654279954226</v>
      </c>
      <c r="T19" s="40">
        <f>+IFERROR(T17/T$9,"nm")</f>
        <v>0.25240651610514625</v>
      </c>
      <c r="U19" s="40">
        <f t="shared" si="13"/>
        <v>-2.6240026694396013E-2</v>
      </c>
    </row>
    <row r="20" spans="1:21" x14ac:dyDescent="0.35">
      <c r="A20" s="36" t="str">
        <f>+Historicals!A109</f>
        <v>North America</v>
      </c>
      <c r="B20" s="36"/>
      <c r="C20" s="36"/>
      <c r="D20" s="36"/>
      <c r="E20" s="36"/>
      <c r="F20" s="36"/>
      <c r="G20" s="36"/>
      <c r="H20" s="36"/>
      <c r="I20" s="36"/>
      <c r="J20" s="32"/>
      <c r="K20" s="32"/>
      <c r="L20" s="32"/>
      <c r="M20" s="32"/>
      <c r="N20" s="32"/>
      <c r="P20" s="87" t="s">
        <v>229</v>
      </c>
      <c r="R20" s="36" t="s">
        <v>100</v>
      </c>
      <c r="S20" s="32"/>
      <c r="T20" s="32"/>
      <c r="U20" s="32"/>
    </row>
    <row r="21" spans="1:21" x14ac:dyDescent="0.35">
      <c r="A21" s="9" t="s">
        <v>135</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19461.588333333337</v>
      </c>
      <c r="K21" s="9">
        <f>+SUM(K23+K27+K31)</f>
        <v>20641.298680555559</v>
      </c>
      <c r="L21" s="9">
        <f t="shared" ref="L21:N21" si="27">+SUM(L23+L27+L31)</f>
        <v>21896.621922967599</v>
      </c>
      <c r="M21" s="9">
        <f t="shared" si="27"/>
        <v>23232.334327892451</v>
      </c>
      <c r="N21" s="9">
        <f t="shared" si="27"/>
        <v>24653.515684178816</v>
      </c>
      <c r="P21" s="87"/>
      <c r="R21" s="9" t="s">
        <v>135</v>
      </c>
      <c r="S21" s="9">
        <f>S23+S25+S27</f>
        <v>13831.214999999998</v>
      </c>
      <c r="T21" s="9">
        <f>T23+T25+T27</f>
        <v>13418</v>
      </c>
      <c r="U21" s="9">
        <f t="shared" ref="U21:U55" si="28">T21-S21</f>
        <v>-413.21499999999833</v>
      </c>
    </row>
    <row r="22" spans="1:21" x14ac:dyDescent="0.35">
      <c r="A22" s="37" t="s">
        <v>128</v>
      </c>
      <c r="B22" s="40" t="str">
        <f t="shared" ref="B22:N22" si="29">+IFERROR(B21/A21-1,"nm")</f>
        <v>nm</v>
      </c>
      <c r="C22" s="40">
        <f t="shared" si="29"/>
        <v>7.4526928675400228E-2</v>
      </c>
      <c r="D22" s="40">
        <f t="shared" si="29"/>
        <v>3.0615009482525046E-2</v>
      </c>
      <c r="E22" s="40">
        <f t="shared" si="29"/>
        <v>-2.372502628811779E-2</v>
      </c>
      <c r="F22" s="40">
        <f t="shared" si="29"/>
        <v>7.0481319421070276E-2</v>
      </c>
      <c r="G22" s="40">
        <f t="shared" si="29"/>
        <v>-8.9171173437303519E-2</v>
      </c>
      <c r="H22" s="40">
        <f t="shared" si="29"/>
        <v>0.18606738470035911</v>
      </c>
      <c r="I22" s="40">
        <f t="shared" si="29"/>
        <v>6.8339251411607238E-2</v>
      </c>
      <c r="J22" s="40">
        <f t="shared" si="29"/>
        <v>6.0403657894259055E-2</v>
      </c>
      <c r="K22" s="40">
        <f t="shared" si="29"/>
        <v>6.0617372385872725E-2</v>
      </c>
      <c r="L22" s="40">
        <f t="shared" si="29"/>
        <v>6.0816097951945869E-2</v>
      </c>
      <c r="M22" s="40">
        <f t="shared" si="29"/>
        <v>6.1000843400589089E-2</v>
      </c>
      <c r="N22" s="40">
        <f t="shared" si="29"/>
        <v>6.1172559598546838E-2</v>
      </c>
      <c r="P22" s="87"/>
      <c r="R22" s="37" t="s">
        <v>128</v>
      </c>
      <c r="S22" s="40">
        <f>J53</f>
        <v>0.10835924352912873</v>
      </c>
      <c r="T22" s="40">
        <f>+IFERROR(T21/I52-1,"nm")</f>
        <v>7.524641397547871E-2</v>
      </c>
      <c r="U22" s="40">
        <f t="shared" si="28"/>
        <v>-3.3112829553650025E-2</v>
      </c>
    </row>
    <row r="23" spans="1:21" x14ac:dyDescent="0.35">
      <c r="A23" s="38" t="s">
        <v>112</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12982.060000000001</v>
      </c>
      <c r="K23" s="3">
        <f>+J23*(1+K24)</f>
        <v>13782.62036666667</v>
      </c>
      <c r="L23" s="3">
        <f t="shared" ref="L23:N23" si="30">+K23*(1+L24)</f>
        <v>14632.548622611115</v>
      </c>
      <c r="M23" s="3">
        <f t="shared" si="30"/>
        <v>15534.889121005468</v>
      </c>
      <c r="N23" s="3">
        <f t="shared" si="30"/>
        <v>16492.873950134141</v>
      </c>
      <c r="O23" s="1" t="s">
        <v>230</v>
      </c>
      <c r="P23" s="87"/>
      <c r="R23" s="38" t="s">
        <v>112</v>
      </c>
      <c r="S23" s="3">
        <f>J56</f>
        <v>8034.4499999999989</v>
      </c>
      <c r="T23" s="3">
        <v>8260</v>
      </c>
      <c r="U23" s="3">
        <f t="shared" si="28"/>
        <v>225.55000000000109</v>
      </c>
    </row>
    <row r="24" spans="1:21" x14ac:dyDescent="0.35">
      <c r="A24" s="37" t="s">
        <v>128</v>
      </c>
      <c r="B24" s="40" t="str">
        <f t="shared" ref="B24:H24" si="31">+IFERROR(B23/A23-1,"nm")</f>
        <v>nm</v>
      </c>
      <c r="C24" s="40">
        <f t="shared" si="31"/>
        <v>9.3228309428638578E-2</v>
      </c>
      <c r="D24" s="40">
        <f t="shared" si="31"/>
        <v>4.1402301322722934E-2</v>
      </c>
      <c r="E24" s="40">
        <f t="shared" si="31"/>
        <v>-3.7381247418422192E-2</v>
      </c>
      <c r="F24" s="40">
        <f t="shared" si="31"/>
        <v>7.755846384895948E-2</v>
      </c>
      <c r="G24" s="40">
        <f t="shared" si="31"/>
        <v>-7.1279243404678949E-2</v>
      </c>
      <c r="H24" s="40">
        <f t="shared" si="31"/>
        <v>0.24815092721620746</v>
      </c>
      <c r="I24" s="40">
        <f>+IFERROR(I23/H23-1,"nm")</f>
        <v>5.0154586052902683E-2</v>
      </c>
      <c r="J24" s="40">
        <f>+J25+J26</f>
        <v>6.1666666666666668E-2</v>
      </c>
      <c r="K24" s="40">
        <f t="shared" ref="K24:N24" si="32">+K25+K26</f>
        <v>6.1666666666666668E-2</v>
      </c>
      <c r="L24" s="40">
        <f t="shared" si="32"/>
        <v>6.1666666666666668E-2</v>
      </c>
      <c r="M24" s="40">
        <f t="shared" si="32"/>
        <v>6.1666666666666668E-2</v>
      </c>
      <c r="N24" s="40">
        <f t="shared" si="32"/>
        <v>6.1666666666666668E-2</v>
      </c>
      <c r="P24" s="87"/>
      <c r="R24" s="37" t="s">
        <v>128</v>
      </c>
      <c r="S24" s="40">
        <f>J57</f>
        <v>8.7499999999999994E-2</v>
      </c>
      <c r="T24" s="40">
        <f>+IFERROR(T23/I56-1,"nm")</f>
        <v>0.11802923659989162</v>
      </c>
      <c r="U24" s="40">
        <f t="shared" si="28"/>
        <v>3.0529236599891624E-2</v>
      </c>
    </row>
    <row r="25" spans="1:21" x14ac:dyDescent="0.35">
      <c r="A25" s="37" t="s">
        <v>136</v>
      </c>
      <c r="B25" s="40">
        <f>+Historicals!B205</f>
        <v>0.14000000000000001</v>
      </c>
      <c r="C25" s="40">
        <f>+Historicals!C205</f>
        <v>0.1</v>
      </c>
      <c r="D25" s="40">
        <f>+Historicals!D205</f>
        <v>0.04</v>
      </c>
      <c r="E25" s="40">
        <f>+Historicals!E205</f>
        <v>-0.04</v>
      </c>
      <c r="F25" s="40">
        <f>+Historicals!F205</f>
        <v>0.08</v>
      </c>
      <c r="G25" s="40">
        <f>+Historicals!G205</f>
        <v>-7.0000000000000007E-2</v>
      </c>
      <c r="H25" s="40">
        <f>+Historicals!H205</f>
        <v>0.25</v>
      </c>
      <c r="I25" s="40">
        <f>+Historicals!I205</f>
        <v>0.05</v>
      </c>
      <c r="J25" s="42">
        <f>AVERAGE(B25,C25,D25,E25,F25,I25)</f>
        <v>6.1666666666666668E-2</v>
      </c>
      <c r="K25" s="42">
        <f>+J25</f>
        <v>6.1666666666666668E-2</v>
      </c>
      <c r="L25" s="42">
        <f t="shared" ref="L25:N25" si="33">+K25</f>
        <v>6.1666666666666668E-2</v>
      </c>
      <c r="M25" s="42">
        <f t="shared" si="33"/>
        <v>6.1666666666666668E-2</v>
      </c>
      <c r="N25" s="42">
        <f t="shared" si="33"/>
        <v>6.1666666666666668E-2</v>
      </c>
      <c r="P25" s="87"/>
      <c r="R25" s="38" t="s">
        <v>113</v>
      </c>
      <c r="S25" s="3">
        <f>J60</f>
        <v>5183.415</v>
      </c>
      <c r="T25" s="3">
        <v>4566</v>
      </c>
      <c r="U25" s="3">
        <f t="shared" si="28"/>
        <v>-617.41499999999996</v>
      </c>
    </row>
    <row r="26" spans="1:21" x14ac:dyDescent="0.35">
      <c r="A26" s="37" t="s">
        <v>137</v>
      </c>
      <c r="B26" s="40" t="str">
        <f t="shared" ref="B26:H26" si="34">+IFERROR(B24-B25,"nm")</f>
        <v>nm</v>
      </c>
      <c r="C26" s="40">
        <f t="shared" si="34"/>
        <v>-6.7716905713614273E-3</v>
      </c>
      <c r="D26" s="40">
        <f t="shared" si="34"/>
        <v>1.4023013227229333E-3</v>
      </c>
      <c r="E26" s="40">
        <f t="shared" si="34"/>
        <v>2.6187525815778087E-3</v>
      </c>
      <c r="F26" s="40">
        <f t="shared" si="34"/>
        <v>-2.4415361510405215E-3</v>
      </c>
      <c r="G26" s="40">
        <f t="shared" si="34"/>
        <v>-1.2792434046789425E-3</v>
      </c>
      <c r="H26" s="40">
        <f t="shared" si="34"/>
        <v>-1.849072783792538E-3</v>
      </c>
      <c r="I26" s="40">
        <f>+IFERROR(I24-I25,"nm")</f>
        <v>1.5458605290268046E-4</v>
      </c>
      <c r="J26" s="42">
        <v>0</v>
      </c>
      <c r="K26" s="42">
        <v>0</v>
      </c>
      <c r="L26" s="42">
        <v>0</v>
      </c>
      <c r="M26" s="42">
        <v>0</v>
      </c>
      <c r="N26" s="42">
        <v>0</v>
      </c>
      <c r="P26" s="87"/>
      <c r="R26" s="37" t="s">
        <v>128</v>
      </c>
      <c r="S26" s="40">
        <f>J61</f>
        <v>0.14500000000000002</v>
      </c>
      <c r="T26" s="40">
        <f>+IFERROR(T25/I60-1,"nm")</f>
        <v>8.6149768058316756E-3</v>
      </c>
      <c r="U26" s="40">
        <f t="shared" si="28"/>
        <v>-0.13638502319416834</v>
      </c>
    </row>
    <row r="27" spans="1:21" x14ac:dyDescent="0.35">
      <c r="A27" s="38" t="s">
        <v>113</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5858.1333333333332</v>
      </c>
      <c r="K27" s="3">
        <f>+J27*(1+K28)</f>
        <v>6248.6755555555555</v>
      </c>
      <c r="L27" s="3">
        <f t="shared" ref="L27:N27" si="35">+K27*(1+L28)</f>
        <v>6665.2539259259256</v>
      </c>
      <c r="M27" s="3">
        <f t="shared" si="35"/>
        <v>7109.6041876543204</v>
      </c>
      <c r="N27" s="3">
        <f t="shared" si="35"/>
        <v>7583.5778001646086</v>
      </c>
      <c r="O27" s="1" t="s">
        <v>230</v>
      </c>
      <c r="P27" s="87"/>
      <c r="R27" s="38" t="s">
        <v>114</v>
      </c>
      <c r="S27" s="3">
        <f>J64</f>
        <v>613.34999999999991</v>
      </c>
      <c r="T27" s="3">
        <v>592</v>
      </c>
      <c r="U27" s="3">
        <f t="shared" si="28"/>
        <v>-21.349999999999909</v>
      </c>
    </row>
    <row r="28" spans="1:21" x14ac:dyDescent="0.35">
      <c r="A28" s="37" t="s">
        <v>128</v>
      </c>
      <c r="B28" s="40" t="str">
        <f t="shared" ref="B28:H28" si="36">+IFERROR(B27/A27-1,"nm")</f>
        <v>nm</v>
      </c>
      <c r="C28" s="40">
        <f t="shared" si="36"/>
        <v>7.6190476190476142E-2</v>
      </c>
      <c r="D28" s="40">
        <f t="shared" si="36"/>
        <v>2.9498525073746285E-2</v>
      </c>
      <c r="E28" s="40">
        <f t="shared" si="36"/>
        <v>1.0642652476463343E-2</v>
      </c>
      <c r="F28" s="40">
        <f t="shared" si="36"/>
        <v>6.5208586472256025E-2</v>
      </c>
      <c r="G28" s="40">
        <f t="shared" si="36"/>
        <v>-0.11806083650190113</v>
      </c>
      <c r="H28" s="40">
        <f t="shared" si="36"/>
        <v>8.3854278939426541E-2</v>
      </c>
      <c r="I28" s="40">
        <f>+IFERROR(I27/H27-1,"nm")</f>
        <v>9.2283214001591007E-2</v>
      </c>
      <c r="J28" s="40">
        <f>+J29+J30</f>
        <v>6.6666666666666666E-2</v>
      </c>
      <c r="K28" s="40">
        <f t="shared" ref="K28:N28" si="37">+K29+K30</f>
        <v>6.6666666666666666E-2</v>
      </c>
      <c r="L28" s="40">
        <f t="shared" si="37"/>
        <v>6.6666666666666666E-2</v>
      </c>
      <c r="M28" s="40">
        <f t="shared" si="37"/>
        <v>6.6666666666666666E-2</v>
      </c>
      <c r="N28" s="40">
        <f t="shared" si="37"/>
        <v>6.6666666666666666E-2</v>
      </c>
      <c r="P28" s="87"/>
      <c r="R28" s="37" t="s">
        <v>128</v>
      </c>
      <c r="S28" s="40">
        <f>J65</f>
        <v>8.7499999999999994E-2</v>
      </c>
      <c r="T28" s="40">
        <f>+IFERROR(T27/I64-1,"nm")</f>
        <v>4.9645390070921946E-2</v>
      </c>
      <c r="U28" s="40">
        <f t="shared" si="28"/>
        <v>-3.7854609929078048E-2</v>
      </c>
    </row>
    <row r="29" spans="1:21" x14ac:dyDescent="0.35">
      <c r="A29" s="37" t="s">
        <v>136</v>
      </c>
      <c r="B29" s="40">
        <f>+Historicals!B206</f>
        <v>0.12</v>
      </c>
      <c r="C29" s="40">
        <f>+Historicals!C206</f>
        <v>0.08</v>
      </c>
      <c r="D29" s="40">
        <f>+Historicals!D206</f>
        <v>0.03</v>
      </c>
      <c r="E29" s="40">
        <f>+Historicals!E206</f>
        <v>0.01</v>
      </c>
      <c r="F29" s="40">
        <f>+Historicals!F206</f>
        <v>7.0000000000000007E-2</v>
      </c>
      <c r="G29" s="40">
        <f>+Historicals!G206</f>
        <v>-0.12</v>
      </c>
      <c r="H29" s="40">
        <f>+Historicals!H206</f>
        <v>0.08</v>
      </c>
      <c r="I29" s="40">
        <f>+Historicals!I206</f>
        <v>0.09</v>
      </c>
      <c r="J29" s="42">
        <f>AVERAGE(B29,C29,D29,E29,F29,I29)</f>
        <v>6.6666666666666666E-2</v>
      </c>
      <c r="K29" s="42">
        <f>+J29</f>
        <v>6.6666666666666666E-2</v>
      </c>
      <c r="L29" s="42">
        <f t="shared" ref="L29:N29" si="38">+K29</f>
        <v>6.6666666666666666E-2</v>
      </c>
      <c r="M29" s="42">
        <f t="shared" si="38"/>
        <v>6.6666666666666666E-2</v>
      </c>
      <c r="N29" s="42">
        <f t="shared" si="38"/>
        <v>6.6666666666666666E-2</v>
      </c>
      <c r="P29" s="87"/>
      <c r="R29" s="9" t="s">
        <v>133</v>
      </c>
      <c r="S29" s="9">
        <f>J75</f>
        <v>4084.9863282378137</v>
      </c>
      <c r="T29" s="9">
        <v>3531</v>
      </c>
      <c r="U29" s="9">
        <f t="shared" si="28"/>
        <v>-553.98632823781372</v>
      </c>
    </row>
    <row r="30" spans="1:21" x14ac:dyDescent="0.35">
      <c r="A30" s="37" t="s">
        <v>137</v>
      </c>
      <c r="B30" s="40" t="str">
        <f t="shared" ref="B30:H30" si="39">+IFERROR(B28-B29,"nm")</f>
        <v>nm</v>
      </c>
      <c r="C30" s="40">
        <f t="shared" si="39"/>
        <v>-3.8095238095238598E-3</v>
      </c>
      <c r="D30" s="40">
        <f t="shared" si="39"/>
        <v>-5.0147492625371437E-4</v>
      </c>
      <c r="E30" s="40">
        <f t="shared" si="39"/>
        <v>6.4265247646334324E-4</v>
      </c>
      <c r="F30" s="40">
        <f t="shared" si="39"/>
        <v>-4.7914135277439818E-3</v>
      </c>
      <c r="G30" s="40">
        <f t="shared" si="39"/>
        <v>1.9391634980988615E-3</v>
      </c>
      <c r="H30" s="40">
        <f t="shared" si="39"/>
        <v>3.8542789394265392E-3</v>
      </c>
      <c r="I30" s="40">
        <f>+IFERROR(I28-I29,"nm")</f>
        <v>2.2832140015910107E-3</v>
      </c>
      <c r="J30" s="42">
        <v>0</v>
      </c>
      <c r="K30" s="42">
        <v>0</v>
      </c>
      <c r="L30" s="42">
        <v>0</v>
      </c>
      <c r="M30" s="42">
        <v>0</v>
      </c>
      <c r="N30" s="42">
        <v>0</v>
      </c>
      <c r="P30" s="87"/>
      <c r="R30" s="39" t="s">
        <v>128</v>
      </c>
      <c r="S30" s="40">
        <f t="shared" ref="S30:S31" si="40">J76</f>
        <v>0.24050602132943016</v>
      </c>
      <c r="T30" s="40">
        <f>+IFERROR(T29/I75-1,"nm")</f>
        <v>7.227452171272386E-2</v>
      </c>
      <c r="U30" s="40">
        <f t="shared" si="28"/>
        <v>-0.1682314996167063</v>
      </c>
    </row>
    <row r="31" spans="1:21" x14ac:dyDescent="0.35">
      <c r="A31" s="38" t="s">
        <v>114</v>
      </c>
      <c r="B31" s="3">
        <f t="shared" ref="B31:I31" si="41">B21-B23-B27</f>
        <v>824</v>
      </c>
      <c r="C31" s="3">
        <f t="shared" si="41"/>
        <v>719</v>
      </c>
      <c r="D31" s="3">
        <f t="shared" si="41"/>
        <v>646</v>
      </c>
      <c r="E31" s="3">
        <f t="shared" si="41"/>
        <v>595</v>
      </c>
      <c r="F31" s="3">
        <f t="shared" si="41"/>
        <v>597</v>
      </c>
      <c r="G31" s="3">
        <f t="shared" si="41"/>
        <v>516</v>
      </c>
      <c r="H31" s="3">
        <f t="shared" si="41"/>
        <v>507</v>
      </c>
      <c r="I31" s="3">
        <f t="shared" si="41"/>
        <v>633</v>
      </c>
      <c r="J31" s="3">
        <f>+I31*(1+J32)</f>
        <v>621.39499999999998</v>
      </c>
      <c r="K31" s="3">
        <f>+J31*(1+K32)</f>
        <v>610.0027583333333</v>
      </c>
      <c r="L31" s="3">
        <f t="shared" ref="L31:N31" si="42">+K31*(1+L32)</f>
        <v>598.81937443055551</v>
      </c>
      <c r="M31" s="3">
        <f t="shared" si="42"/>
        <v>587.84101923266201</v>
      </c>
      <c r="N31" s="3">
        <f t="shared" si="42"/>
        <v>577.06393388006325</v>
      </c>
      <c r="O31" s="1" t="s">
        <v>230</v>
      </c>
      <c r="P31" s="87"/>
      <c r="R31" s="39" t="s">
        <v>130</v>
      </c>
      <c r="S31" s="40">
        <f t="shared" si="40"/>
        <v>0.29534544349414094</v>
      </c>
      <c r="T31" s="40">
        <f>+IFERROR(T29/T$21,"nm")</f>
        <v>0.26315397227604709</v>
      </c>
      <c r="U31" s="40">
        <f t="shared" si="28"/>
        <v>-3.2191471218093848E-2</v>
      </c>
    </row>
    <row r="32" spans="1:21" x14ac:dyDescent="0.35">
      <c r="A32" s="37" t="s">
        <v>128</v>
      </c>
      <c r="B32" s="40" t="str">
        <f t="shared" ref="B32:H32" si="43">+IFERROR(B31/A31-1,"nm")</f>
        <v>nm</v>
      </c>
      <c r="C32" s="40">
        <f t="shared" si="43"/>
        <v>-0.12742718446601942</v>
      </c>
      <c r="D32" s="40">
        <f t="shared" si="43"/>
        <v>-0.10152990264255912</v>
      </c>
      <c r="E32" s="40">
        <f t="shared" si="43"/>
        <v>-7.8947368421052655E-2</v>
      </c>
      <c r="F32" s="40">
        <f t="shared" si="43"/>
        <v>3.3613445378151141E-3</v>
      </c>
      <c r="G32" s="40">
        <f t="shared" si="43"/>
        <v>-0.13567839195979903</v>
      </c>
      <c r="H32" s="40">
        <f t="shared" si="43"/>
        <v>-1.744186046511631E-2</v>
      </c>
      <c r="I32" s="40">
        <f>+IFERROR(I31/H31-1,"nm")</f>
        <v>0.24852071005917153</v>
      </c>
      <c r="J32" s="40">
        <f>+J33+J34</f>
        <v>-1.833333333333334E-2</v>
      </c>
      <c r="K32" s="40">
        <f t="shared" ref="K32:N32" si="44">+K33+K34</f>
        <v>-1.833333333333334E-2</v>
      </c>
      <c r="L32" s="40">
        <f t="shared" si="44"/>
        <v>-1.833333333333334E-2</v>
      </c>
      <c r="M32" s="40">
        <f t="shared" si="44"/>
        <v>-1.833333333333334E-2</v>
      </c>
      <c r="N32" s="40">
        <f t="shared" si="44"/>
        <v>-1.833333333333334E-2</v>
      </c>
      <c r="P32" s="87"/>
      <c r="R32" s="36" t="s">
        <v>101</v>
      </c>
      <c r="S32" s="36"/>
      <c r="T32" s="36"/>
      <c r="U32" s="36">
        <f t="shared" si="28"/>
        <v>0</v>
      </c>
    </row>
    <row r="33" spans="1:21" x14ac:dyDescent="0.35">
      <c r="A33" s="37" t="s">
        <v>136</v>
      </c>
      <c r="B33" s="40">
        <f>+Historicals!B207</f>
        <v>-0.05</v>
      </c>
      <c r="C33" s="40">
        <f>+Historicals!C207</f>
        <v>-0.13</v>
      </c>
      <c r="D33" s="40">
        <f>+Historicals!D207</f>
        <v>-0.1</v>
      </c>
      <c r="E33" s="40">
        <f>+Historicals!E207</f>
        <v>-0.08</v>
      </c>
      <c r="F33" s="40">
        <f>+Historicals!F207</f>
        <v>0</v>
      </c>
      <c r="G33" s="40">
        <f>+Historicals!G207</f>
        <v>-0.14000000000000001</v>
      </c>
      <c r="H33" s="40">
        <f>+Historicals!H207</f>
        <v>-0.02</v>
      </c>
      <c r="I33" s="40">
        <f>+Historicals!I207</f>
        <v>0.25</v>
      </c>
      <c r="J33" s="42">
        <f>AVERAGE(B33,C33,D33,E33,F33,I33)</f>
        <v>-1.833333333333334E-2</v>
      </c>
      <c r="K33" s="42">
        <f>+J33</f>
        <v>-1.833333333333334E-2</v>
      </c>
      <c r="L33" s="42">
        <f t="shared" ref="L33:N33" si="45">+K33</f>
        <v>-1.833333333333334E-2</v>
      </c>
      <c r="M33" s="42">
        <f t="shared" si="45"/>
        <v>-1.833333333333334E-2</v>
      </c>
      <c r="N33" s="42">
        <f t="shared" si="45"/>
        <v>-1.833333333333334E-2</v>
      </c>
      <c r="P33" s="87"/>
      <c r="R33" s="9" t="s">
        <v>135</v>
      </c>
      <c r="S33" s="9">
        <f>S35+S37+S39</f>
        <v>8760.2033333333347</v>
      </c>
      <c r="T33" s="9">
        <f>T35+T37+T39</f>
        <v>7248</v>
      </c>
      <c r="U33" s="9">
        <f t="shared" si="28"/>
        <v>-1512.2033333333347</v>
      </c>
    </row>
    <row r="34" spans="1:21" x14ac:dyDescent="0.35">
      <c r="A34" s="37" t="s">
        <v>137</v>
      </c>
      <c r="B34" s="40" t="str">
        <f t="shared" ref="B34:H34" si="46">+IFERROR(B32-B33,"nm")</f>
        <v>nm</v>
      </c>
      <c r="C34" s="40">
        <f t="shared" si="46"/>
        <v>2.572815533980588E-3</v>
      </c>
      <c r="D34" s="40">
        <f t="shared" si="46"/>
        <v>-1.5299026425591167E-3</v>
      </c>
      <c r="E34" s="40">
        <f t="shared" si="46"/>
        <v>1.0526315789473467E-3</v>
      </c>
      <c r="F34" s="40">
        <f t="shared" si="46"/>
        <v>3.3613445378151141E-3</v>
      </c>
      <c r="G34" s="40">
        <f t="shared" si="46"/>
        <v>4.321608040200986E-3</v>
      </c>
      <c r="H34" s="40">
        <f t="shared" si="46"/>
        <v>2.5581395348836904E-3</v>
      </c>
      <c r="I34" s="40">
        <f>+IFERROR(I32-I33,"nm")</f>
        <v>-1.4792899408284654E-3</v>
      </c>
      <c r="J34" s="42">
        <v>0</v>
      </c>
      <c r="K34" s="42">
        <v>0</v>
      </c>
      <c r="L34" s="42">
        <v>0</v>
      </c>
      <c r="M34" s="42">
        <v>0</v>
      </c>
      <c r="N34" s="42">
        <v>0</v>
      </c>
      <c r="P34" s="87"/>
      <c r="R34" s="37" t="s">
        <v>128</v>
      </c>
      <c r="S34" s="40">
        <f>J86</f>
        <v>0.1607530586104855</v>
      </c>
      <c r="T34" s="40">
        <f>+IFERROR(T33/I85-1,"nm")</f>
        <v>-3.9618391413806853E-2</v>
      </c>
      <c r="U34" s="40">
        <f t="shared" si="28"/>
        <v>-0.20037145002429235</v>
      </c>
    </row>
    <row r="35" spans="1:21" x14ac:dyDescent="0.35">
      <c r="A35" s="9" t="s">
        <v>129</v>
      </c>
      <c r="B35" s="41">
        <f t="shared" ref="B35:H35" si="47">+B42+B38</f>
        <v>3766</v>
      </c>
      <c r="C35" s="41">
        <f t="shared" si="47"/>
        <v>3896</v>
      </c>
      <c r="D35" s="41">
        <f t="shared" si="47"/>
        <v>4015</v>
      </c>
      <c r="E35" s="41">
        <f t="shared" si="47"/>
        <v>3760</v>
      </c>
      <c r="F35" s="41">
        <f t="shared" si="47"/>
        <v>4074</v>
      </c>
      <c r="G35" s="41">
        <f t="shared" si="47"/>
        <v>3047</v>
      </c>
      <c r="H35" s="41">
        <f t="shared" si="47"/>
        <v>5219</v>
      </c>
      <c r="I35" s="41">
        <f>+I42+I38</f>
        <v>5238</v>
      </c>
      <c r="J35" s="41">
        <f>+J42+J38</f>
        <v>5330.7861914146952</v>
      </c>
      <c r="K35" s="41">
        <f t="shared" ref="K35:N35" si="48">+K42+K38</f>
        <v>5425.2582458759407</v>
      </c>
      <c r="L35" s="41">
        <f t="shared" si="48"/>
        <v>5521.4482752121658</v>
      </c>
      <c r="M35" s="41">
        <f t="shared" si="48"/>
        <v>5619.3890535169385</v>
      </c>
      <c r="N35" s="41">
        <f t="shared" si="48"/>
        <v>5719.1140324571516</v>
      </c>
      <c r="O35" s="1" t="s">
        <v>231</v>
      </c>
      <c r="P35" s="87"/>
      <c r="R35" s="38" t="s">
        <v>112</v>
      </c>
      <c r="S35" s="3">
        <f>J89</f>
        <v>6408.9333333333334</v>
      </c>
      <c r="T35" s="3">
        <v>5435</v>
      </c>
      <c r="U35" s="3">
        <f t="shared" si="28"/>
        <v>-973.93333333333339</v>
      </c>
    </row>
    <row r="36" spans="1:21" x14ac:dyDescent="0.35">
      <c r="A36" s="39" t="s">
        <v>128</v>
      </c>
      <c r="B36" s="40" t="str">
        <f t="shared" ref="B36:H36" si="49">+IFERROR(B35/A35-1,"nm")</f>
        <v>nm</v>
      </c>
      <c r="C36" s="40">
        <f t="shared" si="49"/>
        <v>3.4519383961763239E-2</v>
      </c>
      <c r="D36" s="40">
        <f t="shared" si="49"/>
        <v>3.0544147843942548E-2</v>
      </c>
      <c r="E36" s="40">
        <f t="shared" si="49"/>
        <v>-6.3511830635118338E-2</v>
      </c>
      <c r="F36" s="40">
        <f t="shared" si="49"/>
        <v>8.3510638297872308E-2</v>
      </c>
      <c r="G36" s="40">
        <f t="shared" si="49"/>
        <v>-0.25208640157093765</v>
      </c>
      <c r="H36" s="40">
        <f t="shared" si="49"/>
        <v>0.71283229405973092</v>
      </c>
      <c r="I36" s="40">
        <f>+IFERROR(I35/H35-1,"nm")</f>
        <v>3.6405441655489312E-3</v>
      </c>
      <c r="J36" s="40">
        <f>+IFERROR(J35/I35-1,"nm")</f>
        <v>1.7714049525524134E-2</v>
      </c>
      <c r="K36" s="40">
        <f>+IFERROR(K35/J35-1,"nm")</f>
        <v>1.7721974033285015E-2</v>
      </c>
      <c r="L36" s="40">
        <f t="shared" ref="L36:N36" si="50">+IFERROR(L35/K35-1,"nm")</f>
        <v>1.7730036981989716E-2</v>
      </c>
      <c r="M36" s="40">
        <f t="shared" si="50"/>
        <v>1.7738240661325344E-2</v>
      </c>
      <c r="N36" s="40">
        <f t="shared" si="50"/>
        <v>1.7746587394193547E-2</v>
      </c>
      <c r="P36" s="87"/>
      <c r="R36" s="37" t="s">
        <v>128</v>
      </c>
      <c r="S36" s="40">
        <f>J90</f>
        <v>0.18333333333333335</v>
      </c>
      <c r="T36" s="40">
        <f>+IFERROR(T35/I89-1,"nm")</f>
        <v>3.5081240768095601E-3</v>
      </c>
      <c r="U36" s="40">
        <f t="shared" si="28"/>
        <v>-0.17982520925652379</v>
      </c>
    </row>
    <row r="37" spans="1:21" x14ac:dyDescent="0.35">
      <c r="A37" s="39" t="s">
        <v>130</v>
      </c>
      <c r="B37" s="40">
        <f t="shared" ref="B37:H37" si="51">+IFERROR(B35/B$21,"nm")</f>
        <v>0.27409024745269289</v>
      </c>
      <c r="C37" s="40">
        <f t="shared" si="51"/>
        <v>0.26388512598211866</v>
      </c>
      <c r="D37" s="40">
        <f t="shared" si="51"/>
        <v>0.26386698212407994</v>
      </c>
      <c r="E37" s="40">
        <f t="shared" si="51"/>
        <v>0.25311342982160889</v>
      </c>
      <c r="F37" s="40">
        <f t="shared" si="51"/>
        <v>0.25619418941013711</v>
      </c>
      <c r="G37" s="40">
        <f t="shared" si="51"/>
        <v>0.2103700635183651</v>
      </c>
      <c r="H37" s="40">
        <f t="shared" si="51"/>
        <v>0.30380115256999823</v>
      </c>
      <c r="I37" s="40">
        <f>+IFERROR(I35/I$21,"nm")</f>
        <v>0.28540293140086087</v>
      </c>
      <c r="J37" s="42">
        <f>+IFERROR(J35/J21,"nm")</f>
        <v>0.27391321304871369</v>
      </c>
      <c r="K37" s="42">
        <f>+IFERROR(K35/K21,"nm")</f>
        <v>0.26283512146387489</v>
      </c>
      <c r="L37" s="42">
        <f>+IFERROR(L35/L21,"nm")</f>
        <v>0.25215982148464006</v>
      </c>
      <c r="M37" s="42">
        <f>+IFERROR(M35/M21,"nm")</f>
        <v>0.24187793504548399</v>
      </c>
      <c r="N37" s="42">
        <f>+IFERROR(N35/N21,"nm")</f>
        <v>0.23197965376302676</v>
      </c>
      <c r="P37" s="87"/>
      <c r="R37" s="38" t="s">
        <v>113</v>
      </c>
      <c r="S37" s="3">
        <f>J93</f>
        <v>2154.41</v>
      </c>
      <c r="T37" s="3">
        <v>1666</v>
      </c>
      <c r="U37" s="3">
        <f t="shared" si="28"/>
        <v>-488.40999999999985</v>
      </c>
    </row>
    <row r="38" spans="1:21" x14ac:dyDescent="0.35">
      <c r="A38" s="9" t="s">
        <v>131</v>
      </c>
      <c r="B38" s="9">
        <f>Historicals!B191</f>
        <v>121</v>
      </c>
      <c r="C38" s="9">
        <f>Historicals!C191</f>
        <v>133</v>
      </c>
      <c r="D38" s="9">
        <f>Historicals!D191</f>
        <v>140</v>
      </c>
      <c r="E38" s="9">
        <f>Historicals!E191</f>
        <v>160</v>
      </c>
      <c r="F38" s="9">
        <f>Historicals!F191</f>
        <v>149</v>
      </c>
      <c r="G38" s="9">
        <f>Historicals!G191</f>
        <v>148</v>
      </c>
      <c r="H38" s="9">
        <f>Historicals!H191</f>
        <v>130</v>
      </c>
      <c r="I38" s="9">
        <f>Historicals!I191</f>
        <v>124</v>
      </c>
      <c r="J38" s="9">
        <f>I38+I38*J39</f>
        <v>128.4580090483679</v>
      </c>
      <c r="K38" s="9">
        <f t="shared" ref="K38:N38" si="52">J38+J38*K39</f>
        <v>133.07629103766587</v>
      </c>
      <c r="L38" s="9">
        <f t="shared" si="52"/>
        <v>137.86060805032034</v>
      </c>
      <c r="M38" s="9">
        <f t="shared" si="52"/>
        <v>142.81692932533508</v>
      </c>
      <c r="N38" s="9">
        <f t="shared" si="52"/>
        <v>147.95143870591946</v>
      </c>
      <c r="O38" s="1" t="s">
        <v>232</v>
      </c>
      <c r="P38" s="87"/>
      <c r="R38" s="37" t="s">
        <v>128</v>
      </c>
      <c r="S38" s="40">
        <f>J94</f>
        <v>0.11166666666666668</v>
      </c>
      <c r="T38" s="40">
        <f>+IFERROR(T37/I93-1,"nm")</f>
        <v>-0.14035087719298245</v>
      </c>
      <c r="U38" s="40">
        <f t="shared" si="28"/>
        <v>-0.25201754385964914</v>
      </c>
    </row>
    <row r="39" spans="1:21" x14ac:dyDescent="0.35">
      <c r="A39" s="39" t="s">
        <v>128</v>
      </c>
      <c r="B39" s="40" t="str">
        <f t="shared" ref="B39:H39" si="53">+IFERROR(B38/A38-1,"nm")</f>
        <v>nm</v>
      </c>
      <c r="C39" s="40">
        <f t="shared" si="53"/>
        <v>9.9173553719008156E-2</v>
      </c>
      <c r="D39" s="40">
        <f t="shared" si="53"/>
        <v>5.2631578947368363E-2</v>
      </c>
      <c r="E39" s="40">
        <f t="shared" si="53"/>
        <v>0.14285714285714279</v>
      </c>
      <c r="F39" s="40">
        <f t="shared" si="53"/>
        <v>-6.8749999999999978E-2</v>
      </c>
      <c r="G39" s="40">
        <f t="shared" si="53"/>
        <v>-6.7114093959731447E-3</v>
      </c>
      <c r="H39" s="40">
        <f t="shared" si="53"/>
        <v>-0.1216216216216216</v>
      </c>
      <c r="I39" s="40">
        <f>+IFERROR(I38/H38-1,"nm")</f>
        <v>-4.6153846153846101E-2</v>
      </c>
      <c r="J39" s="40">
        <f>AVERAGE(C39,D39,E39,F39,I39)</f>
        <v>3.5951685873934644E-2</v>
      </c>
      <c r="K39" s="40">
        <f>J39</f>
        <v>3.5951685873934644E-2</v>
      </c>
      <c r="L39" s="40">
        <f t="shared" ref="L39:N39" si="54">K39</f>
        <v>3.5951685873934644E-2</v>
      </c>
      <c r="M39" s="40">
        <f t="shared" si="54"/>
        <v>3.5951685873934644E-2</v>
      </c>
      <c r="N39" s="40">
        <f t="shared" si="54"/>
        <v>3.5951685873934644E-2</v>
      </c>
      <c r="P39" s="87"/>
      <c r="R39" s="38" t="s">
        <v>114</v>
      </c>
      <c r="S39" s="3">
        <f>J97</f>
        <v>196.86</v>
      </c>
      <c r="T39" s="3">
        <v>147</v>
      </c>
      <c r="U39" s="3">
        <f t="shared" si="28"/>
        <v>-49.860000000000014</v>
      </c>
    </row>
    <row r="40" spans="1:21" x14ac:dyDescent="0.35">
      <c r="A40" s="39" t="s">
        <v>132</v>
      </c>
      <c r="B40" s="40">
        <f t="shared" ref="B40:I40" si="55">+IFERROR(B38/B$21,"nm")</f>
        <v>8.8064046579330417E-3</v>
      </c>
      <c r="C40" s="40">
        <f t="shared" si="55"/>
        <v>9.0083988079111346E-3</v>
      </c>
      <c r="D40" s="40">
        <f t="shared" si="55"/>
        <v>9.2008412197686646E-3</v>
      </c>
      <c r="E40" s="40">
        <f t="shared" si="55"/>
        <v>1.0770784247728038E-2</v>
      </c>
      <c r="F40" s="40">
        <f t="shared" si="55"/>
        <v>9.3698905798012821E-3</v>
      </c>
      <c r="G40" s="40">
        <f t="shared" si="55"/>
        <v>1.0218171775752554E-2</v>
      </c>
      <c r="H40" s="40">
        <f t="shared" si="55"/>
        <v>7.5673787764130628E-3</v>
      </c>
      <c r="I40" s="40">
        <f t="shared" si="55"/>
        <v>6.7563886013185855E-3</v>
      </c>
      <c r="J40" s="40">
        <f>+IFERROR(J38/J21,"nm")</f>
        <v>6.6005922460269156E-3</v>
      </c>
      <c r="K40" s="40">
        <f>+IFERROR(K38/K21,"nm")</f>
        <v>6.4470890663011387E-3</v>
      </c>
      <c r="L40" s="40">
        <f>+IFERROR(L38/L21,"nm")</f>
        <v>6.2959760887005538E-3</v>
      </c>
      <c r="M40" s="40">
        <f>+IFERROR(M38/M21,"nm")</f>
        <v>6.1473344567821086E-3</v>
      </c>
      <c r="N40" s="40">
        <f>+IFERROR(N38/N21,"nm")</f>
        <v>6.0012308427420773E-3</v>
      </c>
      <c r="P40" s="87"/>
      <c r="R40" s="37" t="s">
        <v>128</v>
      </c>
      <c r="S40" s="40">
        <f>J98</f>
        <v>0.02</v>
      </c>
      <c r="T40" s="40">
        <f>+IFERROR(T39/I97-1,"nm")</f>
        <v>-0.23834196891191706</v>
      </c>
      <c r="U40" s="40">
        <f t="shared" si="28"/>
        <v>-0.25834196891191707</v>
      </c>
    </row>
    <row r="41" spans="1:21" x14ac:dyDescent="0.35">
      <c r="A41" s="39" t="s">
        <v>139</v>
      </c>
      <c r="B41" s="40">
        <f t="shared" ref="B41:H41" si="56">+IFERROR(B38/B48,"nm")</f>
        <v>0.19145569620253164</v>
      </c>
      <c r="C41" s="40">
        <f t="shared" si="56"/>
        <v>0.17924528301886791</v>
      </c>
      <c r="D41" s="40">
        <f t="shared" si="56"/>
        <v>0.17094017094017094</v>
      </c>
      <c r="E41" s="40">
        <f t="shared" si="56"/>
        <v>0.18867924528301888</v>
      </c>
      <c r="F41" s="40">
        <f t="shared" si="56"/>
        <v>0.18304668304668303</v>
      </c>
      <c r="G41" s="40">
        <f t="shared" si="56"/>
        <v>0.22945736434108527</v>
      </c>
      <c r="H41" s="40">
        <f t="shared" si="56"/>
        <v>0.21069692058346839</v>
      </c>
      <c r="I41" s="40">
        <f>+IFERROR(I38/I48,"nm")</f>
        <v>0.19405320813771518</v>
      </c>
      <c r="J41" s="42">
        <f>+IFERROR(J38/J48,"nm")</f>
        <v>0.18933650307701436</v>
      </c>
      <c r="K41" s="42">
        <f t="shared" ref="K41:N41" si="57">+IFERROR(K38/K48,"nm")</f>
        <v>0.1847344434109614</v>
      </c>
      <c r="L41" s="42">
        <f t="shared" si="57"/>
        <v>0.18024424254036375</v>
      </c>
      <c r="M41" s="42">
        <f t="shared" si="57"/>
        <v>0.17586318159779496</v>
      </c>
      <c r="N41" s="42">
        <f t="shared" si="57"/>
        <v>0.17158860780128962</v>
      </c>
      <c r="P41" s="87"/>
      <c r="R41" s="9" t="s">
        <v>133</v>
      </c>
      <c r="S41" s="9">
        <f>J108</f>
        <v>2707.1155956450357</v>
      </c>
      <c r="T41" s="9">
        <v>2283</v>
      </c>
      <c r="U41" s="9">
        <f t="shared" si="28"/>
        <v>-424.11559564503568</v>
      </c>
    </row>
    <row r="42" spans="1:21" x14ac:dyDescent="0.35">
      <c r="A42" s="9" t="s">
        <v>133</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I42+I42*J43</f>
        <v>5202.3281823663274</v>
      </c>
      <c r="K42" s="9">
        <f t="shared" ref="K42:N42" si="58">J42+J42*K43</f>
        <v>5292.1819548382746</v>
      </c>
      <c r="L42" s="9">
        <f t="shared" si="58"/>
        <v>5383.5876671618453</v>
      </c>
      <c r="M42" s="9">
        <f t="shared" si="58"/>
        <v>5476.5721241916035</v>
      </c>
      <c r="N42" s="9">
        <f t="shared" si="58"/>
        <v>5571.1625937512317</v>
      </c>
      <c r="O42" s="1" t="s">
        <v>232</v>
      </c>
      <c r="P42" s="87"/>
      <c r="R42" s="39" t="s">
        <v>128</v>
      </c>
      <c r="S42" s="40">
        <f t="shared" ref="S42:S43" si="59">J109</f>
        <v>0.14465775714377835</v>
      </c>
      <c r="T42" s="40">
        <f>+IFERROR(T41/I108-1,"nm")</f>
        <v>-3.4672304439746338E-2</v>
      </c>
      <c r="U42" s="40">
        <f t="shared" si="28"/>
        <v>-0.17933006158352469</v>
      </c>
    </row>
    <row r="43" spans="1:21" x14ac:dyDescent="0.35">
      <c r="A43" s="39" t="s">
        <v>128</v>
      </c>
      <c r="B43" s="40" t="str">
        <f t="shared" ref="B43:H43" si="60">+IFERROR(B42/A42-1,"nm")</f>
        <v>nm</v>
      </c>
      <c r="C43" s="40">
        <f t="shared" si="60"/>
        <v>3.2373113854595292E-2</v>
      </c>
      <c r="D43" s="40">
        <f t="shared" si="60"/>
        <v>2.9763486579856391E-2</v>
      </c>
      <c r="E43" s="40">
        <f t="shared" si="60"/>
        <v>-7.096774193548383E-2</v>
      </c>
      <c r="F43" s="40">
        <f t="shared" si="60"/>
        <v>9.0277777777777679E-2</v>
      </c>
      <c r="G43" s="40">
        <f t="shared" si="60"/>
        <v>-0.26140127388535028</v>
      </c>
      <c r="H43" s="40">
        <f t="shared" si="60"/>
        <v>0.75543290789927564</v>
      </c>
      <c r="I43" s="40">
        <f>+IFERROR(I42/H42-1,"nm")</f>
        <v>4.9125564943997002E-3</v>
      </c>
      <c r="J43" s="40">
        <f>AVERAGE(C43,D43,E43,F43,I43)</f>
        <v>1.7271838554229046E-2</v>
      </c>
      <c r="K43" s="40">
        <f>J43</f>
        <v>1.7271838554229046E-2</v>
      </c>
      <c r="L43" s="40">
        <f t="shared" ref="L43:N43" si="61">K43</f>
        <v>1.7271838554229046E-2</v>
      </c>
      <c r="M43" s="40">
        <f t="shared" si="61"/>
        <v>1.7271838554229046E-2</v>
      </c>
      <c r="N43" s="40">
        <f t="shared" si="61"/>
        <v>1.7271838554229046E-2</v>
      </c>
      <c r="P43" s="87"/>
      <c r="R43" s="39" t="s">
        <v>130</v>
      </c>
      <c r="S43" s="40">
        <f t="shared" si="59"/>
        <v>0.30902428775188651</v>
      </c>
      <c r="T43" s="40">
        <f>+IFERROR(T41/T33,"nm")</f>
        <v>0.31498344370860926</v>
      </c>
      <c r="U43" s="40">
        <f t="shared" si="28"/>
        <v>5.9591559567227503E-3</v>
      </c>
    </row>
    <row r="44" spans="1:21" x14ac:dyDescent="0.35">
      <c r="A44" s="39" t="s">
        <v>130</v>
      </c>
      <c r="B44" s="40">
        <f t="shared" ref="B44:H44" si="62">+IFERROR(B42/B$21,"nm")</f>
        <v>0.26528384279475981</v>
      </c>
      <c r="C44" s="40">
        <f t="shared" si="62"/>
        <v>0.25487672717420751</v>
      </c>
      <c r="D44" s="40">
        <f t="shared" si="62"/>
        <v>0.25466614090431128</v>
      </c>
      <c r="E44" s="40">
        <f t="shared" si="62"/>
        <v>0.24234264557388085</v>
      </c>
      <c r="F44" s="40">
        <f t="shared" si="62"/>
        <v>0.2468242988303358</v>
      </c>
      <c r="G44" s="40">
        <f t="shared" si="62"/>
        <v>0.20015189174261253</v>
      </c>
      <c r="H44" s="40">
        <f t="shared" si="62"/>
        <v>0.29623377379358518</v>
      </c>
      <c r="I44" s="40">
        <f>+IFERROR(I42/I$21,"nm")</f>
        <v>0.27864654279954232</v>
      </c>
      <c r="J44" s="42">
        <f>+IFERROR(J42/J21,"nm")</f>
        <v>0.26731262080268681</v>
      </c>
      <c r="K44" s="42">
        <f>+IFERROR(K42/K21,"nm")</f>
        <v>0.25638803239757374</v>
      </c>
      <c r="L44" s="42">
        <f>+IFERROR(L42/L21,"nm")</f>
        <v>0.2458638453959395</v>
      </c>
      <c r="M44" s="42">
        <f>+IFERROR(M42/M21,"nm")</f>
        <v>0.23573060058870191</v>
      </c>
      <c r="N44" s="42">
        <f>+IFERROR(N42/N21,"nm")</f>
        <v>0.22597842292028467</v>
      </c>
      <c r="P44" s="87"/>
      <c r="R44" s="36" t="s">
        <v>105</v>
      </c>
      <c r="S44" s="36"/>
      <c r="T44" s="36"/>
      <c r="U44" s="36">
        <f t="shared" si="28"/>
        <v>0</v>
      </c>
    </row>
    <row r="45" spans="1:21" x14ac:dyDescent="0.35">
      <c r="A45" s="9" t="s">
        <v>134</v>
      </c>
      <c r="B45" s="9">
        <f>Historicals!B179</f>
        <v>208</v>
      </c>
      <c r="C45" s="9">
        <f>Historicals!C179</f>
        <v>242</v>
      </c>
      <c r="D45" s="9">
        <f>Historicals!D179</f>
        <v>223</v>
      </c>
      <c r="E45" s="9">
        <f>Historicals!E179</f>
        <v>196</v>
      </c>
      <c r="F45" s="9">
        <f>Historicals!F179</f>
        <v>117</v>
      </c>
      <c r="G45" s="9">
        <f>Historicals!G179</f>
        <v>110</v>
      </c>
      <c r="H45" s="9">
        <f>Historicals!H179</f>
        <v>98</v>
      </c>
      <c r="I45" s="9">
        <f>Historicals!I179</f>
        <v>146</v>
      </c>
      <c r="J45" s="9">
        <f>I45+I45*J46</f>
        <v>147.47774199186173</v>
      </c>
      <c r="K45" s="9">
        <f t="shared" ref="K45:N45" si="63">J45+J45*K46</f>
        <v>148.9704409795763</v>
      </c>
      <c r="L45" s="9">
        <f t="shared" si="63"/>
        <v>150.47824835068369</v>
      </c>
      <c r="M45" s="9">
        <f t="shared" si="63"/>
        <v>152.00131702499604</v>
      </c>
      <c r="N45" s="9">
        <f t="shared" si="63"/>
        <v>153.53980147010648</v>
      </c>
      <c r="O45" s="1" t="s">
        <v>232</v>
      </c>
      <c r="P45" s="87"/>
      <c r="R45" s="9" t="s">
        <v>135</v>
      </c>
      <c r="S45" s="9">
        <f>S47+S49+S51</f>
        <v>6731.0549999999994</v>
      </c>
      <c r="T45" s="9">
        <f>T47+T49+T51</f>
        <v>6431</v>
      </c>
      <c r="U45" s="9">
        <f t="shared" si="28"/>
        <v>-300.05499999999938</v>
      </c>
    </row>
    <row r="46" spans="1:21" x14ac:dyDescent="0.35">
      <c r="A46" s="39" t="s">
        <v>128</v>
      </c>
      <c r="B46" s="40" t="str">
        <f t="shared" ref="B46:H46" si="64">+IFERROR(B45/A45-1,"nm")</f>
        <v>nm</v>
      </c>
      <c r="C46" s="40">
        <f t="shared" si="64"/>
        <v>0.16346153846153855</v>
      </c>
      <c r="D46" s="40">
        <f t="shared" si="64"/>
        <v>-7.8512396694214837E-2</v>
      </c>
      <c r="E46" s="40">
        <f t="shared" si="64"/>
        <v>-0.12107623318385652</v>
      </c>
      <c r="F46" s="40">
        <f t="shared" si="64"/>
        <v>-0.40306122448979587</v>
      </c>
      <c r="G46" s="40">
        <f t="shared" si="64"/>
        <v>-5.9829059829059839E-2</v>
      </c>
      <c r="H46" s="40">
        <f t="shared" si="64"/>
        <v>-0.10909090909090913</v>
      </c>
      <c r="I46" s="40">
        <f>+IFERROR(I45/H45-1,"nm")</f>
        <v>0.48979591836734704</v>
      </c>
      <c r="J46" s="40">
        <f>AVERAGE(C46,D46,E46,F46,I46)</f>
        <v>1.0121520492203672E-2</v>
      </c>
      <c r="K46" s="40">
        <f>J46</f>
        <v>1.0121520492203672E-2</v>
      </c>
      <c r="L46" s="40">
        <f t="shared" ref="L46:N46" si="65">K46</f>
        <v>1.0121520492203672E-2</v>
      </c>
      <c r="M46" s="40">
        <f t="shared" si="65"/>
        <v>1.0121520492203672E-2</v>
      </c>
      <c r="N46" s="40">
        <f t="shared" si="65"/>
        <v>1.0121520492203672E-2</v>
      </c>
      <c r="P46" s="87"/>
      <c r="R46" s="37" t="s">
        <v>128</v>
      </c>
      <c r="S46" s="40">
        <f>J119</f>
        <v>0.1303198992443324</v>
      </c>
      <c r="T46" s="40">
        <f>+IFERROR(T45/I118-1,"nm")</f>
        <v>7.9932829554995699E-2</v>
      </c>
      <c r="U46" s="40">
        <f t="shared" si="28"/>
        <v>-5.0387069689336705E-2</v>
      </c>
    </row>
    <row r="47" spans="1:21" x14ac:dyDescent="0.35">
      <c r="A47" s="39" t="s">
        <v>132</v>
      </c>
      <c r="B47" s="40">
        <f t="shared" ref="B47:H47" si="66">+IFERROR(B45/B$21,"nm")</f>
        <v>1.5138282387190683E-2</v>
      </c>
      <c r="C47" s="40">
        <f t="shared" si="66"/>
        <v>1.6391221891086428E-2</v>
      </c>
      <c r="D47" s="40">
        <f t="shared" si="66"/>
        <v>1.4655625657202945E-2</v>
      </c>
      <c r="E47" s="40">
        <f t="shared" si="66"/>
        <v>1.3194210703466847E-2</v>
      </c>
      <c r="F47" s="40">
        <f t="shared" si="66"/>
        <v>7.3575650861526856E-3</v>
      </c>
      <c r="G47" s="40">
        <f t="shared" si="66"/>
        <v>7.5945871306268989E-3</v>
      </c>
      <c r="H47" s="40">
        <f t="shared" si="66"/>
        <v>5.7046393852960009E-3</v>
      </c>
      <c r="I47" s="40">
        <f>+IFERROR(I45/I$21,"nm")</f>
        <v>7.9551027080041418E-3</v>
      </c>
      <c r="J47" s="42">
        <f>+IFERROR(J45/J21,"nm")</f>
        <v>7.5778882723187314E-3</v>
      </c>
      <c r="K47" s="42">
        <f>+IFERROR(K45/K21,"nm")</f>
        <v>7.2171060205581386E-3</v>
      </c>
      <c r="L47" s="42">
        <f>+IFERROR(L45/L21,"nm")</f>
        <v>6.8722129322078421E-3</v>
      </c>
      <c r="M47" s="42">
        <f>+IFERROR(M45/M21,"nm")</f>
        <v>6.5426622602665092E-3</v>
      </c>
      <c r="N47" s="42">
        <f>+IFERROR(N45/N21,"nm")</f>
        <v>6.2279069418338315E-3</v>
      </c>
      <c r="P47" s="87"/>
      <c r="R47" s="38" t="s">
        <v>112</v>
      </c>
      <c r="S47" s="3">
        <f>J122</f>
        <v>4665.9849999999997</v>
      </c>
      <c r="T47" s="3">
        <v>4543</v>
      </c>
      <c r="U47" s="3">
        <f t="shared" si="28"/>
        <v>-122.98499999999967</v>
      </c>
    </row>
    <row r="48" spans="1:21" x14ac:dyDescent="0.35">
      <c r="A48" s="9" t="s">
        <v>140</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9">
        <f>I48+I48*J49</f>
        <v>678.46404132707801</v>
      </c>
      <c r="K48" s="9">
        <f t="shared" ref="K48:N48" si="67">J48+J48*K49</f>
        <v>720.36534487303766</v>
      </c>
      <c r="L48" s="9">
        <f t="shared" si="67"/>
        <v>764.85443366906952</v>
      </c>
      <c r="M48" s="9">
        <f t="shared" si="67"/>
        <v>812.09112690774714</v>
      </c>
      <c r="N48" s="9">
        <f t="shared" si="67"/>
        <v>862.24511406524437</v>
      </c>
      <c r="O48" s="1" t="s">
        <v>232</v>
      </c>
      <c r="P48" s="87"/>
      <c r="R48" s="37" t="s">
        <v>128</v>
      </c>
      <c r="S48" s="40">
        <f>J123</f>
        <v>0.13500000000000001</v>
      </c>
      <c r="T48" s="40">
        <f>+IFERROR(T47/I122-1,"nm")</f>
        <v>0.10508392118705911</v>
      </c>
      <c r="U48" s="40">
        <f t="shared" si="28"/>
        <v>-2.9916078812940894E-2</v>
      </c>
    </row>
    <row r="49" spans="1:21" x14ac:dyDescent="0.35">
      <c r="A49" s="39" t="s">
        <v>128</v>
      </c>
      <c r="B49" s="40" t="str">
        <f t="shared" ref="B49:H49" si="68">+IFERROR(B48/A48-1,"nm")</f>
        <v>nm</v>
      </c>
      <c r="C49" s="40">
        <f t="shared" si="68"/>
        <v>0.17405063291139244</v>
      </c>
      <c r="D49" s="40">
        <f t="shared" si="68"/>
        <v>0.10377358490566047</v>
      </c>
      <c r="E49" s="40">
        <f t="shared" si="68"/>
        <v>3.5409035409035505E-2</v>
      </c>
      <c r="F49" s="40">
        <f t="shared" si="68"/>
        <v>-4.0094339622641528E-2</v>
      </c>
      <c r="G49" s="40">
        <f t="shared" si="68"/>
        <v>-0.20761670761670759</v>
      </c>
      <c r="H49" s="40">
        <f t="shared" si="68"/>
        <v>-4.3410852713178349E-2</v>
      </c>
      <c r="I49" s="40">
        <f>+IFERROR(I48/H48-1,"nm")</f>
        <v>3.5656401944894611E-2</v>
      </c>
      <c r="J49" s="40">
        <f>AVERAGE(C49,D49,E49,F49,I49)</f>
        <v>6.1759063109668298E-2</v>
      </c>
      <c r="K49" s="40">
        <f>J49</f>
        <v>6.1759063109668298E-2</v>
      </c>
      <c r="L49" s="40">
        <f t="shared" ref="L49:N49" si="69">K49</f>
        <v>6.1759063109668298E-2</v>
      </c>
      <c r="M49" s="40">
        <f t="shared" si="69"/>
        <v>6.1759063109668298E-2</v>
      </c>
      <c r="N49" s="40">
        <f t="shared" si="69"/>
        <v>6.1759063109668298E-2</v>
      </c>
      <c r="P49" s="87"/>
      <c r="R49" s="38" t="s">
        <v>113</v>
      </c>
      <c r="S49" s="3">
        <f>J126</f>
        <v>1815.2749999999999</v>
      </c>
      <c r="T49" s="3">
        <v>1664</v>
      </c>
      <c r="U49" s="3">
        <f t="shared" si="28"/>
        <v>-151.27499999999986</v>
      </c>
    </row>
    <row r="50" spans="1:21" x14ac:dyDescent="0.35">
      <c r="A50" s="39" t="s">
        <v>132</v>
      </c>
      <c r="B50" s="40">
        <f t="shared" ref="B50:H50" si="70">+IFERROR(B48/B$21,"nm")</f>
        <v>4.599708879184862E-2</v>
      </c>
      <c r="C50" s="40">
        <f t="shared" si="70"/>
        <v>5.0257382823083174E-2</v>
      </c>
      <c r="D50" s="40">
        <f t="shared" si="70"/>
        <v>5.3824921135646686E-2</v>
      </c>
      <c r="E50" s="40">
        <f t="shared" si="70"/>
        <v>5.7085156512958597E-2</v>
      </c>
      <c r="F50" s="40">
        <f t="shared" si="70"/>
        <v>5.1188529744686205E-2</v>
      </c>
      <c r="G50" s="40">
        <f t="shared" si="70"/>
        <v>4.4531897265948632E-2</v>
      </c>
      <c r="H50" s="40">
        <f t="shared" si="70"/>
        <v>3.5915943884975841E-2</v>
      </c>
      <c r="I50" s="40">
        <f>+IFERROR(I48/I$21,"nm")</f>
        <v>3.4817196098730456E-2</v>
      </c>
      <c r="J50" s="42">
        <f>+IFERROR(J48/J21,"nm")</f>
        <v>3.4861699348815292E-2</v>
      </c>
      <c r="K50" s="42">
        <f>+IFERROR(K48/K21,"nm")</f>
        <v>3.4899225868556108E-2</v>
      </c>
      <c r="L50" s="42">
        <f>+IFERROR(L48/L21,"nm")</f>
        <v>3.4930247978881418E-2</v>
      </c>
      <c r="M50" s="42">
        <f>+IFERROR(M48/M21,"nm")</f>
        <v>3.4955210072573753E-2</v>
      </c>
      <c r="N50" s="42">
        <f>+IFERROR(N48/N21,"nm")</f>
        <v>3.4974529601008705E-2</v>
      </c>
      <c r="P50" s="87"/>
      <c r="R50" s="37" t="s">
        <v>128</v>
      </c>
      <c r="S50" s="40">
        <f>J127</f>
        <v>0.1275</v>
      </c>
      <c r="T50" s="40">
        <f>+IFERROR(T49/I126-1,"nm")</f>
        <v>3.354037267080745E-2</v>
      </c>
      <c r="U50" s="40">
        <f t="shared" si="28"/>
        <v>-9.3959627329192552E-2</v>
      </c>
    </row>
    <row r="51" spans="1:21" x14ac:dyDescent="0.35">
      <c r="A51" s="36" t="s">
        <v>100</v>
      </c>
      <c r="B51" s="36"/>
      <c r="C51" s="36"/>
      <c r="D51" s="36"/>
      <c r="E51" s="36"/>
      <c r="F51" s="36"/>
      <c r="G51" s="36"/>
      <c r="H51" s="36"/>
      <c r="I51" s="36"/>
      <c r="J51" s="32"/>
      <c r="K51" s="32"/>
      <c r="L51" s="32"/>
      <c r="M51" s="32"/>
      <c r="N51" s="32"/>
      <c r="P51" s="87" t="s">
        <v>233</v>
      </c>
      <c r="R51" s="38" t="s">
        <v>114</v>
      </c>
      <c r="S51" s="3">
        <f>J130</f>
        <v>249.79499999999999</v>
      </c>
      <c r="T51" s="3">
        <v>224</v>
      </c>
      <c r="U51" s="3">
        <f t="shared" si="28"/>
        <v>-25.794999999999987</v>
      </c>
    </row>
    <row r="52" spans="1:21" x14ac:dyDescent="0.35">
      <c r="A52" s="9" t="s">
        <v>135</v>
      </c>
      <c r="B52" s="9">
        <f>Historicals!B113</f>
        <v>0</v>
      </c>
      <c r="C52" s="9">
        <f>Historicals!C113</f>
        <v>0</v>
      </c>
      <c r="D52" s="9">
        <f>Historicals!D113</f>
        <v>0</v>
      </c>
      <c r="E52" s="9">
        <f>Historicals!E113</f>
        <v>9242</v>
      </c>
      <c r="F52" s="9">
        <f>Historicals!F113</f>
        <v>9812</v>
      </c>
      <c r="G52" s="9">
        <f>Historicals!G113</f>
        <v>9347</v>
      </c>
      <c r="H52" s="9">
        <f>Historicals!H113</f>
        <v>11456</v>
      </c>
      <c r="I52" s="9">
        <f>Historicals!I113</f>
        <v>12479</v>
      </c>
      <c r="J52" s="9">
        <f>+SUM(J56+J60+J64)</f>
        <v>13831.214999999998</v>
      </c>
      <c r="K52" s="9">
        <f t="shared" ref="K52:N52" si="71">+SUM(K56+K60+K64)</f>
        <v>15339.492675</v>
      </c>
      <c r="L52" s="9">
        <f t="shared" si="71"/>
        <v>17022.961369124998</v>
      </c>
      <c r="M52" s="9">
        <f t="shared" si="71"/>
        <v>18903.216721319997</v>
      </c>
      <c r="N52" s="9">
        <f t="shared" si="71"/>
        <v>21004.652620529559</v>
      </c>
      <c r="P52" s="87"/>
      <c r="R52" s="37" t="s">
        <v>128</v>
      </c>
      <c r="S52" s="40">
        <f>J131</f>
        <v>6.7500000000000004E-2</v>
      </c>
      <c r="T52" s="40">
        <f>+IFERROR(T51/I130-1,"nm")</f>
        <v>-4.2735042735042694E-2</v>
      </c>
      <c r="U52" s="40">
        <f t="shared" si="28"/>
        <v>-0.1102350427350427</v>
      </c>
    </row>
    <row r="53" spans="1:21" x14ac:dyDescent="0.35">
      <c r="A53" s="37" t="s">
        <v>128</v>
      </c>
      <c r="B53" s="40" t="str">
        <f t="shared" ref="B53:J53" si="72">+IFERROR(B52/A52-1,"nm")</f>
        <v>nm</v>
      </c>
      <c r="C53" s="40" t="str">
        <f t="shared" si="72"/>
        <v>nm</v>
      </c>
      <c r="D53" s="40" t="str">
        <f t="shared" si="72"/>
        <v>nm</v>
      </c>
      <c r="E53" s="40" t="str">
        <f t="shared" si="72"/>
        <v>nm</v>
      </c>
      <c r="F53" s="40">
        <f t="shared" si="72"/>
        <v>6.1674962129409261E-2</v>
      </c>
      <c r="G53" s="40">
        <f t="shared" si="72"/>
        <v>-4.7390949857317621E-2</v>
      </c>
      <c r="H53" s="40">
        <f t="shared" si="72"/>
        <v>0.22563389322777372</v>
      </c>
      <c r="I53" s="40">
        <f t="shared" si="72"/>
        <v>8.9298184357541999E-2</v>
      </c>
      <c r="J53" s="40">
        <f t="shared" si="72"/>
        <v>0.10835924352912873</v>
      </c>
      <c r="K53" s="40">
        <f>+IFERROR(K52/J52-1,"nm")</f>
        <v>0.10904882000605154</v>
      </c>
      <c r="L53" s="40">
        <f t="shared" ref="L53:N53" si="73">+IFERROR(L52/K52-1,"nm")</f>
        <v>0.10974735147979708</v>
      </c>
      <c r="M53" s="40">
        <f t="shared" si="73"/>
        <v>0.11045406914952349</v>
      </c>
      <c r="N53" s="40">
        <f t="shared" si="73"/>
        <v>0.111168164137877</v>
      </c>
      <c r="P53" s="87"/>
      <c r="R53" s="9" t="s">
        <v>133</v>
      </c>
      <c r="S53" s="9">
        <f>J141</f>
        <v>2151.5243540749711</v>
      </c>
      <c r="T53" s="9">
        <v>1932</v>
      </c>
      <c r="U53" s="9">
        <f t="shared" si="28"/>
        <v>-219.52435407497114</v>
      </c>
    </row>
    <row r="54" spans="1:21" x14ac:dyDescent="0.35">
      <c r="A54" s="37" t="s">
        <v>136</v>
      </c>
      <c r="B54" s="40">
        <f>Historicals!B208</f>
        <v>0</v>
      </c>
      <c r="C54" s="40">
        <f>Historicals!C208</f>
        <v>0</v>
      </c>
      <c r="D54" s="40">
        <f>Historicals!D208</f>
        <v>0.1</v>
      </c>
      <c r="E54" s="40">
        <f>Historicals!E208</f>
        <v>0.09</v>
      </c>
      <c r="F54" s="40">
        <f>Historicals!F208</f>
        <v>0.11</v>
      </c>
      <c r="G54" s="40">
        <f>Historicals!G208</f>
        <v>-0.01</v>
      </c>
      <c r="H54" s="40">
        <f>Historicals!H208</f>
        <v>0.17</v>
      </c>
      <c r="I54" s="40">
        <f>Historicals!I208</f>
        <v>0.12</v>
      </c>
      <c r="J54" s="42">
        <f>J53-J55</f>
        <v>0.10835924352912873</v>
      </c>
      <c r="K54" s="42">
        <f t="shared" ref="K54:N54" si="74">K53-K55</f>
        <v>0.10904882000605154</v>
      </c>
      <c r="L54" s="42">
        <f t="shared" si="74"/>
        <v>0.10974735147979708</v>
      </c>
      <c r="M54" s="42">
        <f t="shared" si="74"/>
        <v>0.11045406914952349</v>
      </c>
      <c r="N54" s="42">
        <f t="shared" si="74"/>
        <v>0.111168164137877</v>
      </c>
      <c r="P54" s="87"/>
      <c r="R54" s="39" t="s">
        <v>128</v>
      </c>
      <c r="S54" s="40">
        <f t="shared" ref="S54:S55" si="75">J142</f>
        <v>0.13477022894249524</v>
      </c>
      <c r="T54" s="40">
        <f>+IFERROR(T53/I141-1,"nm")</f>
        <v>1.8987341772152E-2</v>
      </c>
      <c r="U54" s="40">
        <f t="shared" si="28"/>
        <v>-0.11578288717034324</v>
      </c>
    </row>
    <row r="55" spans="1:21" x14ac:dyDescent="0.35">
      <c r="A55" s="37" t="s">
        <v>137</v>
      </c>
      <c r="B55" s="40" t="str">
        <f t="shared" ref="B55:H55" si="76">+IFERROR(B53-B54,"nm")</f>
        <v>nm</v>
      </c>
      <c r="C55" s="40" t="str">
        <f t="shared" si="76"/>
        <v>nm</v>
      </c>
      <c r="D55" s="40" t="str">
        <f t="shared" si="76"/>
        <v>nm</v>
      </c>
      <c r="E55" s="40" t="str">
        <f t="shared" si="76"/>
        <v>nm</v>
      </c>
      <c r="F55" s="40">
        <f t="shared" si="76"/>
        <v>-4.832503787059074E-2</v>
      </c>
      <c r="G55" s="40">
        <f t="shared" si="76"/>
        <v>-3.7390949857317619E-2</v>
      </c>
      <c r="H55" s="40">
        <f t="shared" si="76"/>
        <v>5.5633893227773706E-2</v>
      </c>
      <c r="I55" s="40">
        <f>+IFERROR(I53-I54,"nm")</f>
        <v>-3.0701815642457997E-2</v>
      </c>
      <c r="J55" s="42">
        <v>0</v>
      </c>
      <c r="K55" s="42">
        <v>0</v>
      </c>
      <c r="L55" s="42">
        <v>0</v>
      </c>
      <c r="M55" s="42">
        <v>0</v>
      </c>
      <c r="N55" s="42">
        <v>0</v>
      </c>
      <c r="P55" s="87"/>
      <c r="R55" s="39" t="s">
        <v>130</v>
      </c>
      <c r="S55" s="40">
        <f t="shared" si="75"/>
        <v>0.31964147582733632</v>
      </c>
      <c r="T55" s="40">
        <f>+IFERROR(T53/T45,"nm")</f>
        <v>0.30041984139325145</v>
      </c>
      <c r="U55" s="40">
        <f t="shared" si="28"/>
        <v>-1.9221634434084867E-2</v>
      </c>
    </row>
    <row r="56" spans="1:21" x14ac:dyDescent="0.35">
      <c r="A56" s="38" t="s">
        <v>112</v>
      </c>
      <c r="B56" s="3">
        <f>Historicals!B114</f>
        <v>0</v>
      </c>
      <c r="C56" s="3">
        <f>Historicals!C114</f>
        <v>0</v>
      </c>
      <c r="D56" s="3">
        <f>Historicals!D114</f>
        <v>0</v>
      </c>
      <c r="E56" s="3">
        <f>Historicals!E114</f>
        <v>5875</v>
      </c>
      <c r="F56" s="3">
        <f>Historicals!F114</f>
        <v>6293</v>
      </c>
      <c r="G56" s="3">
        <f>Historicals!G114</f>
        <v>5892</v>
      </c>
      <c r="H56" s="3">
        <f>Historicals!H114</f>
        <v>6970</v>
      </c>
      <c r="I56" s="3">
        <f>Historicals!I114</f>
        <v>7388</v>
      </c>
      <c r="J56" s="3">
        <f>+I56*(1+J57)</f>
        <v>8034.4499999999989</v>
      </c>
      <c r="K56" s="3">
        <f>+J56*(1+K57)</f>
        <v>8737.4643749999977</v>
      </c>
      <c r="L56" s="3">
        <f t="shared" ref="L56:N56" si="77">+K56*(1+L57)</f>
        <v>9501.9925078124961</v>
      </c>
      <c r="M56" s="3">
        <f t="shared" si="77"/>
        <v>10333.41685224609</v>
      </c>
      <c r="N56" s="3">
        <f t="shared" si="77"/>
        <v>11237.590826817621</v>
      </c>
      <c r="O56" s="1" t="s">
        <v>234</v>
      </c>
      <c r="P56" s="87"/>
      <c r="R56" s="36" t="s">
        <v>106</v>
      </c>
      <c r="S56" s="32"/>
      <c r="T56" s="32"/>
      <c r="U56" s="32"/>
    </row>
    <row r="57" spans="1:21" x14ac:dyDescent="0.35">
      <c r="A57" s="37" t="s">
        <v>128</v>
      </c>
      <c r="B57" s="40" t="str">
        <f t="shared" ref="B57:H57" si="78">+IFERROR(B56/A56-1,"nm")</f>
        <v>nm</v>
      </c>
      <c r="C57" s="40" t="str">
        <f t="shared" si="78"/>
        <v>nm</v>
      </c>
      <c r="D57" s="40" t="str">
        <f t="shared" si="78"/>
        <v>nm</v>
      </c>
      <c r="E57" s="40" t="str">
        <f t="shared" si="78"/>
        <v>nm</v>
      </c>
      <c r="F57" s="40">
        <f t="shared" si="78"/>
        <v>7.1148936170212673E-2</v>
      </c>
      <c r="G57" s="40">
        <f t="shared" si="78"/>
        <v>-6.3721595423486432E-2</v>
      </c>
      <c r="H57" s="40">
        <f t="shared" si="78"/>
        <v>0.18295994568907004</v>
      </c>
      <c r="I57" s="40">
        <f>+IFERROR(I56/H56-1,"nm")</f>
        <v>5.9971305595408975E-2</v>
      </c>
      <c r="J57" s="40">
        <f>+J58+J59</f>
        <v>8.7499999999999994E-2</v>
      </c>
      <c r="K57" s="40">
        <f t="shared" ref="K57:N57" si="79">+K58+K59</f>
        <v>8.7499999999999994E-2</v>
      </c>
      <c r="L57" s="40">
        <f t="shared" si="79"/>
        <v>8.7499999999999994E-2</v>
      </c>
      <c r="M57" s="40">
        <f t="shared" si="79"/>
        <v>8.7499999999999994E-2</v>
      </c>
      <c r="N57" s="40">
        <f t="shared" si="79"/>
        <v>8.7499999999999994E-2</v>
      </c>
      <c r="P57" s="87"/>
      <c r="R57" s="9" t="s">
        <v>135</v>
      </c>
      <c r="S57" s="9">
        <f>J151</f>
        <v>89.512774610737679</v>
      </c>
      <c r="T57" s="9">
        <v>58</v>
      </c>
      <c r="U57" s="9">
        <f t="shared" ref="U57:U73" si="80">T57-S57</f>
        <v>-31.512774610737679</v>
      </c>
    </row>
    <row r="58" spans="1:21" x14ac:dyDescent="0.35">
      <c r="A58" s="37" t="s">
        <v>136</v>
      </c>
      <c r="B58" s="40">
        <f>Historicals!B209</f>
        <v>0</v>
      </c>
      <c r="C58" s="40">
        <f>Historicals!C209</f>
        <v>0</v>
      </c>
      <c r="D58" s="40">
        <f>Historicals!D209</f>
        <v>0.08</v>
      </c>
      <c r="E58" s="40">
        <f>Historicals!E209</f>
        <v>0.06</v>
      </c>
      <c r="F58" s="40">
        <f>Historicals!F209</f>
        <v>0.12</v>
      </c>
      <c r="G58" s="40">
        <f>Historicals!G209</f>
        <v>-0.03</v>
      </c>
      <c r="H58" s="40">
        <f>Historicals!H209</f>
        <v>0.13</v>
      </c>
      <c r="I58" s="40">
        <f>Historicals!I209</f>
        <v>0.09</v>
      </c>
      <c r="J58" s="42">
        <f>AVERAGE(D58,E58,F58,I58)</f>
        <v>8.7499999999999994E-2</v>
      </c>
      <c r="K58" s="42">
        <f>+J58</f>
        <v>8.7499999999999994E-2</v>
      </c>
      <c r="L58" s="42">
        <f t="shared" ref="L58:N58" si="81">+K58</f>
        <v>8.7499999999999994E-2</v>
      </c>
      <c r="M58" s="42">
        <f t="shared" si="81"/>
        <v>8.7499999999999994E-2</v>
      </c>
      <c r="N58" s="42">
        <f t="shared" si="81"/>
        <v>8.7499999999999994E-2</v>
      </c>
      <c r="P58" s="87"/>
      <c r="R58" s="37" t="s">
        <v>128</v>
      </c>
      <c r="S58" s="40">
        <v>0</v>
      </c>
      <c r="T58" s="40">
        <f>+IFERROR(T57/I151-1,"nm")</f>
        <v>-0.43137254901960786</v>
      </c>
      <c r="U58" s="40">
        <f t="shared" si="80"/>
        <v>-0.43137254901960786</v>
      </c>
    </row>
    <row r="59" spans="1:21" x14ac:dyDescent="0.35">
      <c r="A59" s="37" t="s">
        <v>137</v>
      </c>
      <c r="B59" s="40" t="str">
        <f t="shared" ref="B59:H59" si="82">+IFERROR(B57-B58,"nm")</f>
        <v>nm</v>
      </c>
      <c r="C59" s="40" t="str">
        <f t="shared" si="82"/>
        <v>nm</v>
      </c>
      <c r="D59" s="40" t="str">
        <f t="shared" si="82"/>
        <v>nm</v>
      </c>
      <c r="E59" s="40" t="str">
        <f t="shared" si="82"/>
        <v>nm</v>
      </c>
      <c r="F59" s="40">
        <f t="shared" si="82"/>
        <v>-4.8851063829787322E-2</v>
      </c>
      <c r="G59" s="40">
        <f t="shared" si="82"/>
        <v>-3.3721595423486433E-2</v>
      </c>
      <c r="H59" s="40">
        <f t="shared" si="82"/>
        <v>5.2959945689070032E-2</v>
      </c>
      <c r="I59" s="40">
        <f>+IFERROR(I57-I58,"nm")</f>
        <v>-3.0028694404591022E-2</v>
      </c>
      <c r="J59" s="42">
        <v>0</v>
      </c>
      <c r="K59" s="42">
        <v>0</v>
      </c>
      <c r="L59" s="42">
        <v>0</v>
      </c>
      <c r="M59" s="42">
        <v>0</v>
      </c>
      <c r="N59" s="42">
        <v>0</v>
      </c>
      <c r="P59" s="87"/>
      <c r="R59" s="9" t="s">
        <v>133</v>
      </c>
      <c r="S59" s="3">
        <f>J160</f>
        <v>-4741.2393260842473</v>
      </c>
      <c r="T59" s="3">
        <v>-4841</v>
      </c>
      <c r="U59" s="3">
        <f t="shared" si="80"/>
        <v>-99.760673915752704</v>
      </c>
    </row>
    <row r="60" spans="1:21" x14ac:dyDescent="0.35">
      <c r="A60" s="38" t="s">
        <v>113</v>
      </c>
      <c r="B60" s="3">
        <f>Historicals!B115</f>
        <v>0</v>
      </c>
      <c r="C60" s="3">
        <f>Historicals!C115</f>
        <v>0</v>
      </c>
      <c r="D60" s="3">
        <f>Historicals!D115</f>
        <v>0</v>
      </c>
      <c r="E60" s="3">
        <f>Historicals!E115</f>
        <v>2940</v>
      </c>
      <c r="F60" s="3">
        <f>Historicals!F115</f>
        <v>3087</v>
      </c>
      <c r="G60" s="3">
        <f>Historicals!G115</f>
        <v>3053</v>
      </c>
      <c r="H60" s="3">
        <f>Historicals!H115</f>
        <v>3996</v>
      </c>
      <c r="I60" s="3">
        <f>Historicals!I115</f>
        <v>4527</v>
      </c>
      <c r="J60" s="3">
        <f>+I60*(1+J61)</f>
        <v>5183.415</v>
      </c>
      <c r="K60" s="3">
        <f>+J60*(1+K61)</f>
        <v>5935.0101750000003</v>
      </c>
      <c r="L60" s="3">
        <f t="shared" ref="L60:N60" si="83">+K60*(1+L61)</f>
        <v>6795.5866503750003</v>
      </c>
      <c r="M60" s="3">
        <f t="shared" si="83"/>
        <v>7780.9467146793759</v>
      </c>
      <c r="N60" s="3">
        <f t="shared" si="83"/>
        <v>8909.1839883078846</v>
      </c>
      <c r="O60" s="1" t="s">
        <v>234</v>
      </c>
      <c r="P60" s="87"/>
      <c r="R60" s="39" t="s">
        <v>128</v>
      </c>
      <c r="S60" s="40">
        <v>0</v>
      </c>
      <c r="T60" s="40">
        <f>+IFERROR(T59/I160-1,"nm")</f>
        <v>0.13585171281088693</v>
      </c>
      <c r="U60" s="40">
        <f t="shared" si="80"/>
        <v>0.13585171281088693</v>
      </c>
    </row>
    <row r="61" spans="1:21" x14ac:dyDescent="0.35">
      <c r="A61" s="37" t="s">
        <v>128</v>
      </c>
      <c r="B61" s="40" t="str">
        <f t="shared" ref="B61:H61" si="84">+IFERROR(B60/A60-1,"nm")</f>
        <v>nm</v>
      </c>
      <c r="C61" s="40" t="str">
        <f t="shared" si="84"/>
        <v>nm</v>
      </c>
      <c r="D61" s="40" t="str">
        <f t="shared" si="84"/>
        <v>nm</v>
      </c>
      <c r="E61" s="40" t="str">
        <f t="shared" si="84"/>
        <v>nm</v>
      </c>
      <c r="F61" s="40">
        <f t="shared" si="84"/>
        <v>5.0000000000000044E-2</v>
      </c>
      <c r="G61" s="40">
        <f t="shared" si="84"/>
        <v>-1.1013929381276322E-2</v>
      </c>
      <c r="H61" s="40">
        <f t="shared" si="84"/>
        <v>0.30887651490337364</v>
      </c>
      <c r="I61" s="40">
        <f>+IFERROR(I60/H60-1,"nm")</f>
        <v>0.13288288288288297</v>
      </c>
      <c r="J61" s="40">
        <f>+J62+J63</f>
        <v>0.14500000000000002</v>
      </c>
      <c r="K61" s="40">
        <f t="shared" ref="K61:N61" si="85">+K62+K63</f>
        <v>0.14500000000000002</v>
      </c>
      <c r="L61" s="40">
        <f t="shared" si="85"/>
        <v>0.14500000000000002</v>
      </c>
      <c r="M61" s="40">
        <f t="shared" si="85"/>
        <v>0.14500000000000002</v>
      </c>
      <c r="N61" s="40">
        <f t="shared" si="85"/>
        <v>0.14500000000000002</v>
      </c>
      <c r="P61" s="87"/>
      <c r="R61" s="39" t="s">
        <v>130</v>
      </c>
      <c r="S61" s="40">
        <f>J162</f>
        <v>-52.967180904651599</v>
      </c>
      <c r="T61" s="40">
        <f>+IFERROR(T59/T57,"nm")</f>
        <v>-83.465517241379317</v>
      </c>
      <c r="U61" s="40">
        <f t="shared" si="80"/>
        <v>-30.498336336727718</v>
      </c>
    </row>
    <row r="62" spans="1:21" x14ac:dyDescent="0.35">
      <c r="A62" s="37" t="s">
        <v>136</v>
      </c>
      <c r="B62" s="40">
        <f>Historicals!B210</f>
        <v>0</v>
      </c>
      <c r="C62" s="40">
        <f>Historicals!C210</f>
        <v>0</v>
      </c>
      <c r="D62" s="40">
        <f>Historicals!D210</f>
        <v>0.17</v>
      </c>
      <c r="E62" s="40">
        <f>Historicals!E210</f>
        <v>0.16</v>
      </c>
      <c r="F62" s="40">
        <f>Historicals!F210</f>
        <v>0.09</v>
      </c>
      <c r="G62" s="40">
        <f>Historicals!G210</f>
        <v>0.02</v>
      </c>
      <c r="H62" s="40">
        <f>Historicals!H210</f>
        <v>0.25</v>
      </c>
      <c r="I62" s="40">
        <f>Historicals!I210</f>
        <v>0.16</v>
      </c>
      <c r="J62" s="42">
        <f>AVERAGE(D62,E62,F62,I62)</f>
        <v>0.14500000000000002</v>
      </c>
      <c r="K62" s="42">
        <f>+J62</f>
        <v>0.14500000000000002</v>
      </c>
      <c r="L62" s="42">
        <f t="shared" ref="L62:N62" si="86">+K62</f>
        <v>0.14500000000000002</v>
      </c>
      <c r="M62" s="42">
        <f t="shared" si="86"/>
        <v>0.14500000000000002</v>
      </c>
      <c r="N62" s="42">
        <f t="shared" si="86"/>
        <v>0.14500000000000002</v>
      </c>
      <c r="P62" s="87"/>
      <c r="R62" s="70" t="s">
        <v>103</v>
      </c>
      <c r="S62" s="32"/>
      <c r="T62" s="32"/>
      <c r="U62" s="32"/>
    </row>
    <row r="63" spans="1:21" x14ac:dyDescent="0.35">
      <c r="A63" s="37" t="s">
        <v>137</v>
      </c>
      <c r="B63" s="40" t="str">
        <f t="shared" ref="B63:H63" si="87">+IFERROR(B61-B62,"nm")</f>
        <v>nm</v>
      </c>
      <c r="C63" s="40" t="str">
        <f t="shared" si="87"/>
        <v>nm</v>
      </c>
      <c r="D63" s="40" t="str">
        <f t="shared" si="87"/>
        <v>nm</v>
      </c>
      <c r="E63" s="40" t="str">
        <f t="shared" si="87"/>
        <v>nm</v>
      </c>
      <c r="F63" s="40">
        <f t="shared" si="87"/>
        <v>-3.9999999999999952E-2</v>
      </c>
      <c r="G63" s="40">
        <f t="shared" si="87"/>
        <v>-3.1013929381276322E-2</v>
      </c>
      <c r="H63" s="40">
        <f t="shared" si="87"/>
        <v>5.8876514903373645E-2</v>
      </c>
      <c r="I63" s="40">
        <f>+IFERROR(I61-I62,"nm")</f>
        <v>-2.7117117117117034E-2</v>
      </c>
      <c r="J63" s="42">
        <v>0</v>
      </c>
      <c r="K63" s="42">
        <v>0</v>
      </c>
      <c r="L63" s="42">
        <v>0</v>
      </c>
      <c r="M63" s="42">
        <v>0</v>
      </c>
      <c r="N63" s="42">
        <v>0</v>
      </c>
      <c r="P63" s="87"/>
      <c r="R63" s="9" t="s">
        <v>135</v>
      </c>
      <c r="S63" s="9">
        <f>J177</f>
        <v>2359.6222915500816</v>
      </c>
      <c r="T63" s="9">
        <v>2427</v>
      </c>
      <c r="U63" s="9">
        <f t="shared" si="80"/>
        <v>67.377708449918373</v>
      </c>
    </row>
    <row r="64" spans="1:21" x14ac:dyDescent="0.35">
      <c r="A64" s="38" t="s">
        <v>114</v>
      </c>
      <c r="B64" s="3">
        <f t="shared" ref="B64:I64" si="88">B52-B56-B60</f>
        <v>0</v>
      </c>
      <c r="C64" s="3">
        <f t="shared" si="88"/>
        <v>0</v>
      </c>
      <c r="D64" s="3">
        <f t="shared" si="88"/>
        <v>0</v>
      </c>
      <c r="E64" s="3">
        <f t="shared" si="88"/>
        <v>427</v>
      </c>
      <c r="F64" s="3">
        <f t="shared" si="88"/>
        <v>432</v>
      </c>
      <c r="G64" s="3">
        <f t="shared" si="88"/>
        <v>402</v>
      </c>
      <c r="H64" s="3">
        <f t="shared" si="88"/>
        <v>490</v>
      </c>
      <c r="I64" s="3">
        <f t="shared" si="88"/>
        <v>564</v>
      </c>
      <c r="J64" s="3">
        <f>+I64*(1+J65)</f>
        <v>613.34999999999991</v>
      </c>
      <c r="K64" s="3">
        <f>+J64*(1+K65)</f>
        <v>667.01812499999983</v>
      </c>
      <c r="L64" s="3">
        <f t="shared" ref="L64:N64" si="89">+K64*(1+L65)</f>
        <v>725.38221093749974</v>
      </c>
      <c r="M64" s="3">
        <f t="shared" si="89"/>
        <v>788.85315439453086</v>
      </c>
      <c r="N64" s="3">
        <f t="shared" si="89"/>
        <v>857.8778054040522</v>
      </c>
      <c r="O64" s="1" t="s">
        <v>234</v>
      </c>
      <c r="P64" s="87"/>
      <c r="R64" s="37" t="s">
        <v>128</v>
      </c>
      <c r="S64" s="40">
        <v>0</v>
      </c>
      <c r="T64" s="40">
        <f>+IFERROR(T63/I177-1,"nm")</f>
        <v>3.4526854219948833E-2</v>
      </c>
      <c r="U64" s="40">
        <f t="shared" si="80"/>
        <v>3.4526854219948833E-2</v>
      </c>
    </row>
    <row r="65" spans="1:21" x14ac:dyDescent="0.35">
      <c r="A65" s="37" t="s">
        <v>128</v>
      </c>
      <c r="B65" s="40" t="str">
        <f t="shared" ref="B65:H65" si="90">+IFERROR(B64/A64-1,"nm")</f>
        <v>nm</v>
      </c>
      <c r="C65" s="40" t="str">
        <f t="shared" si="90"/>
        <v>nm</v>
      </c>
      <c r="D65" s="40" t="str">
        <f t="shared" si="90"/>
        <v>nm</v>
      </c>
      <c r="E65" s="40" t="str">
        <f t="shared" si="90"/>
        <v>nm</v>
      </c>
      <c r="F65" s="40">
        <f t="shared" si="90"/>
        <v>1.1709601873536313E-2</v>
      </c>
      <c r="G65" s="40">
        <f t="shared" si="90"/>
        <v>-6.944444444444442E-2</v>
      </c>
      <c r="H65" s="40">
        <f t="shared" si="90"/>
        <v>0.21890547263681581</v>
      </c>
      <c r="I65" s="40">
        <f>+IFERROR(I64/H64-1,"nm")</f>
        <v>0.15102040816326534</v>
      </c>
      <c r="J65" s="40">
        <f>+J66+J67</f>
        <v>8.7499999999999994E-2</v>
      </c>
      <c r="K65" s="40">
        <f t="shared" ref="K65:N65" si="91">+K66+K67</f>
        <v>8.7499999999999994E-2</v>
      </c>
      <c r="L65" s="40">
        <f t="shared" si="91"/>
        <v>8.7499999999999994E-2</v>
      </c>
      <c r="M65" s="40">
        <f t="shared" si="91"/>
        <v>8.7499999999999994E-2</v>
      </c>
      <c r="N65" s="40">
        <f t="shared" si="91"/>
        <v>8.7499999999999994E-2</v>
      </c>
      <c r="P65" s="87"/>
      <c r="R65" s="9" t="s">
        <v>133</v>
      </c>
      <c r="S65" s="3">
        <f>J186</f>
        <v>639.67074185662261</v>
      </c>
      <c r="T65" s="3">
        <v>676</v>
      </c>
      <c r="U65" s="3">
        <f t="shared" si="80"/>
        <v>36.329258143377388</v>
      </c>
    </row>
    <row r="66" spans="1:21" x14ac:dyDescent="0.35">
      <c r="A66" s="37" t="s">
        <v>136</v>
      </c>
      <c r="B66" s="40">
        <f>Historicals!B211</f>
        <v>0</v>
      </c>
      <c r="C66" s="40">
        <f>Historicals!C211</f>
        <v>0</v>
      </c>
      <c r="D66" s="40">
        <f>Historicals!D211</f>
        <v>7.0000000000000007E-2</v>
      </c>
      <c r="E66" s="40">
        <f>Historicals!E211</f>
        <v>0.06</v>
      </c>
      <c r="F66" s="40">
        <f>Historicals!F211</f>
        <v>0.05</v>
      </c>
      <c r="G66" s="40">
        <f>Historicals!G211</f>
        <v>-0.03</v>
      </c>
      <c r="H66" s="40">
        <f>Historicals!H211</f>
        <v>0.19</v>
      </c>
      <c r="I66" s="40">
        <f>Historicals!I211</f>
        <v>0.17</v>
      </c>
      <c r="J66" s="42">
        <f>AVERAGE(D66,E66,F66,I66)</f>
        <v>8.7499999999999994E-2</v>
      </c>
      <c r="K66" s="42">
        <f>+J66</f>
        <v>8.7499999999999994E-2</v>
      </c>
      <c r="L66" s="42">
        <f t="shared" ref="L66:N66" si="92">+K66</f>
        <v>8.7499999999999994E-2</v>
      </c>
      <c r="M66" s="42">
        <f t="shared" si="92"/>
        <v>8.7499999999999994E-2</v>
      </c>
      <c r="N66" s="42">
        <f t="shared" si="92"/>
        <v>8.7499999999999994E-2</v>
      </c>
      <c r="P66" s="87"/>
      <c r="R66" s="39" t="s">
        <v>128</v>
      </c>
      <c r="S66" s="40">
        <v>0</v>
      </c>
      <c r="T66" s="40">
        <f>+IFERROR(T65/I186-1,"nm")</f>
        <v>1.0463378176382765E-2</v>
      </c>
      <c r="U66" s="40">
        <f t="shared" si="80"/>
        <v>1.0463378176382765E-2</v>
      </c>
    </row>
    <row r="67" spans="1:21" x14ac:dyDescent="0.35">
      <c r="A67" s="37" t="s">
        <v>137</v>
      </c>
      <c r="B67" s="40" t="str">
        <f t="shared" ref="B67:H67" si="93">+IFERROR(B65-B66,"nm")</f>
        <v>nm</v>
      </c>
      <c r="C67" s="40" t="str">
        <f t="shared" si="93"/>
        <v>nm</v>
      </c>
      <c r="D67" s="40" t="str">
        <f t="shared" si="93"/>
        <v>nm</v>
      </c>
      <c r="E67" s="40" t="str">
        <f t="shared" si="93"/>
        <v>nm</v>
      </c>
      <c r="F67" s="40">
        <f t="shared" si="93"/>
        <v>-3.829039812646369E-2</v>
      </c>
      <c r="G67" s="40">
        <f t="shared" si="93"/>
        <v>-3.9444444444444421E-2</v>
      </c>
      <c r="H67" s="40">
        <f t="shared" si="93"/>
        <v>2.890547263681581E-2</v>
      </c>
      <c r="I67" s="40">
        <f>+IFERROR(I65-I66,"nm")</f>
        <v>-1.8979591836734672E-2</v>
      </c>
      <c r="J67" s="42">
        <v>0</v>
      </c>
      <c r="K67" s="42">
        <v>0</v>
      </c>
      <c r="L67" s="42">
        <v>0</v>
      </c>
      <c r="M67" s="42">
        <v>0</v>
      </c>
      <c r="N67" s="42">
        <v>0</v>
      </c>
      <c r="P67" s="87"/>
      <c r="R67" s="39" t="s">
        <v>130</v>
      </c>
      <c r="S67" s="40">
        <f>J188</f>
        <v>0.27109031142285511</v>
      </c>
      <c r="T67" s="40">
        <f>+IFERROR(T65/T63,"nm")</f>
        <v>0.27853316852080756</v>
      </c>
      <c r="U67" s="40">
        <f t="shared" si="80"/>
        <v>7.4428570979524489E-3</v>
      </c>
    </row>
    <row r="68" spans="1:21" x14ac:dyDescent="0.35">
      <c r="A68" s="9" t="s">
        <v>129</v>
      </c>
      <c r="B68" s="41">
        <f t="shared" ref="B68:I68" si="94">+B75+B71</f>
        <v>0</v>
      </c>
      <c r="C68" s="41">
        <f t="shared" si="94"/>
        <v>85</v>
      </c>
      <c r="D68" s="41">
        <f t="shared" si="94"/>
        <v>106</v>
      </c>
      <c r="E68" s="41">
        <f t="shared" si="94"/>
        <v>1703</v>
      </c>
      <c r="F68" s="41">
        <f t="shared" si="94"/>
        <v>2106</v>
      </c>
      <c r="G68" s="41">
        <f t="shared" si="94"/>
        <v>1673</v>
      </c>
      <c r="H68" s="41">
        <f t="shared" si="94"/>
        <v>2571</v>
      </c>
      <c r="I68" s="41">
        <f t="shared" si="94"/>
        <v>3427</v>
      </c>
      <c r="J68" s="41">
        <f>+J75+J71</f>
        <v>4228.4865636084751</v>
      </c>
      <c r="K68" s="41">
        <f t="shared" ref="K68:N68" si="95">+K75+K71</f>
        <v>5221.1241488052819</v>
      </c>
      <c r="L68" s="41">
        <f t="shared" si="95"/>
        <v>6450.7714888514156</v>
      </c>
      <c r="M68" s="41">
        <f t="shared" si="95"/>
        <v>7974.308519294962</v>
      </c>
      <c r="N68" s="41">
        <f t="shared" si="95"/>
        <v>9862.2864692727126</v>
      </c>
      <c r="O68" s="1" t="s">
        <v>231</v>
      </c>
      <c r="P68" s="87"/>
      <c r="R68" s="70" t="s">
        <v>107</v>
      </c>
      <c r="S68" s="32"/>
      <c r="T68" s="32"/>
      <c r="U68" s="32"/>
    </row>
    <row r="69" spans="1:21" x14ac:dyDescent="0.35">
      <c r="A69" s="39" t="s">
        <v>128</v>
      </c>
      <c r="B69" s="40" t="str">
        <f t="shared" ref="B69:I69" si="96">+IFERROR(B68/A68-1,"nm")</f>
        <v>nm</v>
      </c>
      <c r="C69" s="40" t="str">
        <f t="shared" si="96"/>
        <v>nm</v>
      </c>
      <c r="D69" s="40">
        <f t="shared" si="96"/>
        <v>0.24705882352941178</v>
      </c>
      <c r="E69" s="40">
        <f t="shared" si="96"/>
        <v>15.066037735849058</v>
      </c>
      <c r="F69" s="40">
        <f t="shared" si="96"/>
        <v>0.23664122137404586</v>
      </c>
      <c r="G69" s="40">
        <f t="shared" si="96"/>
        <v>-0.20560303893637222</v>
      </c>
      <c r="H69" s="40">
        <f t="shared" si="96"/>
        <v>0.53676031081888831</v>
      </c>
      <c r="I69" s="40">
        <f t="shared" si="96"/>
        <v>0.33294437961882539</v>
      </c>
      <c r="J69" s="40">
        <f>+IFERROR(J68/I68-1,"nm")</f>
        <v>0.23387410668470232</v>
      </c>
      <c r="K69" s="40">
        <f>+IFERROR(K68/J68-1,"nm")</f>
        <v>0.23475008617497339</v>
      </c>
      <c r="L69" s="40">
        <f t="shared" ref="L69:N69" si="97">+IFERROR(L68/K68-1,"nm")</f>
        <v>0.23551390562653185</v>
      </c>
      <c r="M69" s="40">
        <f t="shared" si="97"/>
        <v>0.23617904200708528</v>
      </c>
      <c r="N69" s="40">
        <f t="shared" si="97"/>
        <v>0.23675757533202058</v>
      </c>
      <c r="P69" s="87"/>
      <c r="R69" s="9" t="s">
        <v>135</v>
      </c>
      <c r="S69" s="9">
        <f>J196</f>
        <v>-72</v>
      </c>
      <c r="T69" s="9">
        <v>27</v>
      </c>
      <c r="U69" s="9">
        <f t="shared" si="80"/>
        <v>99</v>
      </c>
    </row>
    <row r="70" spans="1:21" x14ac:dyDescent="0.35">
      <c r="A70" s="39" t="s">
        <v>130</v>
      </c>
      <c r="B70" s="40" t="str">
        <f t="shared" ref="B70:H70" si="98">+IFERROR(B68/B$52,"nm")</f>
        <v>nm</v>
      </c>
      <c r="C70" s="40" t="str">
        <f t="shared" si="98"/>
        <v>nm</v>
      </c>
      <c r="D70" s="40" t="str">
        <f t="shared" si="98"/>
        <v>nm</v>
      </c>
      <c r="E70" s="40">
        <f t="shared" si="98"/>
        <v>0.18426747457260334</v>
      </c>
      <c r="F70" s="40">
        <f t="shared" si="98"/>
        <v>0.21463514064410924</v>
      </c>
      <c r="G70" s="40">
        <f t="shared" si="98"/>
        <v>0.17898791055953783</v>
      </c>
      <c r="H70" s="40">
        <f t="shared" si="98"/>
        <v>0.22442388268156424</v>
      </c>
      <c r="I70" s="40">
        <f>+IFERROR(I68/I$52,"nm")</f>
        <v>0.27462136389133746</v>
      </c>
      <c r="J70" s="42">
        <f>+IFERROR(J68/J52,"nm")</f>
        <v>0.30572054325006703</v>
      </c>
      <c r="K70" s="42">
        <f>+IFERROR(K68/K52,"nm")</f>
        <v>0.34037137077646423</v>
      </c>
      <c r="L70" s="42">
        <f>+IFERROR(L68/L52,"nm")</f>
        <v>0.37894531679730842</v>
      </c>
      <c r="M70" s="42">
        <f>+IFERROR(M68/M52,"nm")</f>
        <v>0.42184928823786572</v>
      </c>
      <c r="N70" s="42">
        <f>+IFERROR(N68/N52,"nm")</f>
        <v>0.46952866336068305</v>
      </c>
      <c r="P70" s="87"/>
      <c r="R70" s="37" t="s">
        <v>128</v>
      </c>
      <c r="S70" s="40">
        <v>0</v>
      </c>
      <c r="T70" s="40">
        <f>+IFERROR(T69/I196-1,"nm")</f>
        <v>-1.375</v>
      </c>
      <c r="U70" s="40">
        <f t="shared" si="80"/>
        <v>-1.375</v>
      </c>
    </row>
    <row r="71" spans="1:21" x14ac:dyDescent="0.35">
      <c r="A71" s="9" t="s">
        <v>131</v>
      </c>
      <c r="B71" s="9">
        <f>Historicals!B192</f>
        <v>0</v>
      </c>
      <c r="C71" s="9">
        <f>Historicals!C192</f>
        <v>85</v>
      </c>
      <c r="D71" s="9">
        <f>Historicals!D192</f>
        <v>106</v>
      </c>
      <c r="E71" s="9">
        <f>Historicals!E192</f>
        <v>116</v>
      </c>
      <c r="F71" s="9">
        <f>Historicals!F192</f>
        <v>111</v>
      </c>
      <c r="G71" s="9">
        <f>Historicals!G192</f>
        <v>132</v>
      </c>
      <c r="H71" s="9">
        <f>Historicals!H192</f>
        <v>136</v>
      </c>
      <c r="I71" s="9">
        <f>Historicals!I192</f>
        <v>134</v>
      </c>
      <c r="J71" s="9">
        <f>I71+I71*J72</f>
        <v>143.50023537066096</v>
      </c>
      <c r="K71" s="9">
        <f t="shared" ref="K71:M71" si="99">J71+J71*K72</f>
        <v>153.67401157787384</v>
      </c>
      <c r="L71" s="9">
        <f t="shared" si="99"/>
        <v>164.56908083416846</v>
      </c>
      <c r="M71" s="9">
        <f t="shared" si="99"/>
        <v>176.23658085400376</v>
      </c>
      <c r="N71" s="9">
        <f>M71+M71*N72</f>
        <v>188.73127487664223</v>
      </c>
      <c r="O71" s="1" t="s">
        <v>235</v>
      </c>
      <c r="P71" s="87"/>
      <c r="R71" s="9" t="s">
        <v>133</v>
      </c>
      <c r="S71" s="3">
        <f>J205</f>
        <v>-2454.2328147007956</v>
      </c>
      <c r="T71" s="3">
        <v>-2840</v>
      </c>
      <c r="U71" s="3">
        <f t="shared" si="80"/>
        <v>-385.76718529920436</v>
      </c>
    </row>
    <row r="72" spans="1:21" x14ac:dyDescent="0.35">
      <c r="A72" s="39" t="s">
        <v>128</v>
      </c>
      <c r="B72" s="40" t="str">
        <f t="shared" ref="B72:I72" si="100">+IFERROR(B71/A71-1,"nm")</f>
        <v>nm</v>
      </c>
      <c r="C72" s="40" t="str">
        <f t="shared" si="100"/>
        <v>nm</v>
      </c>
      <c r="D72" s="40">
        <f t="shared" si="100"/>
        <v>0.24705882352941178</v>
      </c>
      <c r="E72" s="40">
        <f t="shared" si="100"/>
        <v>9.4339622641509413E-2</v>
      </c>
      <c r="F72" s="40">
        <f t="shared" si="100"/>
        <v>-4.31034482758621E-2</v>
      </c>
      <c r="G72" s="40">
        <f t="shared" si="100"/>
        <v>0.18918918918918926</v>
      </c>
      <c r="H72" s="40">
        <f t="shared" si="100"/>
        <v>3.0303030303030276E-2</v>
      </c>
      <c r="I72" s="40">
        <f t="shared" si="100"/>
        <v>-1.4705882352941124E-2</v>
      </c>
      <c r="J72" s="40">
        <f>AVERAGE(D72,E72,F72,I72)</f>
        <v>7.0897278885529491E-2</v>
      </c>
      <c r="K72" s="40">
        <f>J72</f>
        <v>7.0897278885529491E-2</v>
      </c>
      <c r="L72" s="40">
        <f t="shared" ref="L72:N72" si="101">K72</f>
        <v>7.0897278885529491E-2</v>
      </c>
      <c r="M72" s="40">
        <f t="shared" si="101"/>
        <v>7.0897278885529491E-2</v>
      </c>
      <c r="N72" s="40">
        <f t="shared" si="101"/>
        <v>7.0897278885529491E-2</v>
      </c>
      <c r="P72" s="87"/>
      <c r="R72" s="39" t="s">
        <v>128</v>
      </c>
      <c r="S72" s="40">
        <f>J206</f>
        <v>0.10600847890977723</v>
      </c>
      <c r="T72" s="40">
        <f>+IFERROR(T71/I205-1,"nm")</f>
        <v>0.27985579089680046</v>
      </c>
      <c r="U72" s="40">
        <f t="shared" si="80"/>
        <v>0.17384731198702325</v>
      </c>
    </row>
    <row r="73" spans="1:21" x14ac:dyDescent="0.35">
      <c r="A73" s="39" t="s">
        <v>132</v>
      </c>
      <c r="B73" s="40" t="str">
        <f t="shared" ref="B73:H73" si="102">+IFERROR(B71/B$52,"nm")</f>
        <v>nm</v>
      </c>
      <c r="C73" s="40" t="str">
        <f t="shared" si="102"/>
        <v>nm</v>
      </c>
      <c r="D73" s="40" t="str">
        <f t="shared" si="102"/>
        <v>nm</v>
      </c>
      <c r="E73" s="40">
        <f t="shared" si="102"/>
        <v>1.2551395801774508E-2</v>
      </c>
      <c r="F73" s="40">
        <f t="shared" si="102"/>
        <v>1.1312678353037097E-2</v>
      </c>
      <c r="G73" s="40">
        <f t="shared" si="102"/>
        <v>1.4122178239007167E-2</v>
      </c>
      <c r="H73" s="40">
        <f t="shared" si="102"/>
        <v>1.1871508379888268E-2</v>
      </c>
      <c r="I73" s="40">
        <f>+IFERROR(I71/I$52,"nm")</f>
        <v>1.0738039907043834E-2</v>
      </c>
      <c r="J73" s="40">
        <f>+IFERROR(J71/J52,"nm")</f>
        <v>1.0375099755926069E-2</v>
      </c>
      <c r="K73" s="40">
        <f>+IFERROR(K71/K52,"nm")</f>
        <v>1.0018193876015775E-2</v>
      </c>
      <c r="L73" s="40">
        <f>+IFERROR(L71/L52,"nm")</f>
        <v>9.6674766079568163E-3</v>
      </c>
      <c r="M73" s="40">
        <f>+IFERROR(M71/M52,"nm")</f>
        <v>9.3231000549888043E-3</v>
      </c>
      <c r="N73" s="40">
        <f>+IFERROR(N71/N52,"nm")</f>
        <v>8.9852128614676431E-3</v>
      </c>
      <c r="P73" s="87"/>
      <c r="R73" s="39" t="s">
        <v>130</v>
      </c>
      <c r="S73" s="40">
        <f t="shared" ref="S73" si="103">J207</f>
        <v>34.086566870844386</v>
      </c>
      <c r="T73" s="40">
        <f>+IFERROR(T71/T69,"nm")</f>
        <v>-105.18518518518519</v>
      </c>
      <c r="U73" s="40">
        <f t="shared" si="80"/>
        <v>-139.27175205602958</v>
      </c>
    </row>
    <row r="74" spans="1:21" x14ac:dyDescent="0.35">
      <c r="A74" s="39" t="s">
        <v>139</v>
      </c>
      <c r="B74" s="40" t="str">
        <f t="shared" ref="B74:I74" si="104">+IFERROR(B71/B81,"nm")</f>
        <v>nm</v>
      </c>
      <c r="C74" s="40" t="str">
        <f t="shared" si="104"/>
        <v>nm</v>
      </c>
      <c r="D74" s="40">
        <f t="shared" si="104"/>
        <v>0.14950634696755993</v>
      </c>
      <c r="E74" s="40">
        <f t="shared" si="104"/>
        <v>0.13663133097762073</v>
      </c>
      <c r="F74" s="40">
        <f t="shared" si="104"/>
        <v>0.11948331539289558</v>
      </c>
      <c r="G74" s="40">
        <f t="shared" si="104"/>
        <v>0.14915254237288136</v>
      </c>
      <c r="H74" s="40">
        <f t="shared" si="104"/>
        <v>0.1384928716904277</v>
      </c>
      <c r="I74" s="40">
        <f t="shared" si="104"/>
        <v>0.14565217391304347</v>
      </c>
      <c r="J74" s="42">
        <f>+IFERROR(J71/J81,"nm")</f>
        <v>0.14740555622541876</v>
      </c>
      <c r="K74" s="42">
        <f t="shared" ref="K74:N74" si="105">+IFERROR(K71/K81,"nm")</f>
        <v>0.14918004601220214</v>
      </c>
      <c r="L74" s="42">
        <f t="shared" si="105"/>
        <v>0.15097589736827793</v>
      </c>
      <c r="M74" s="42">
        <f t="shared" si="105"/>
        <v>0.15279336744736216</v>
      </c>
      <c r="N74" s="42">
        <f t="shared" si="105"/>
        <v>0.15463271649882504</v>
      </c>
      <c r="P74" s="87"/>
    </row>
    <row r="75" spans="1:21" x14ac:dyDescent="0.35">
      <c r="A75" s="9" t="s">
        <v>133</v>
      </c>
      <c r="B75" s="9">
        <f>+Historicals!B153</f>
        <v>0</v>
      </c>
      <c r="C75" s="9">
        <f>+Historicals!C153</f>
        <v>0</v>
      </c>
      <c r="D75" s="9">
        <f>+Historicals!D153</f>
        <v>0</v>
      </c>
      <c r="E75" s="9">
        <f>+Historicals!E153</f>
        <v>1587</v>
      </c>
      <c r="F75" s="9">
        <f>+Historicals!F153</f>
        <v>1995</v>
      </c>
      <c r="G75" s="9">
        <f>+Historicals!G153</f>
        <v>1541</v>
      </c>
      <c r="H75" s="9">
        <f>+Historicals!H153</f>
        <v>2435</v>
      </c>
      <c r="I75" s="9">
        <f>+Historicals!I153</f>
        <v>3293</v>
      </c>
      <c r="J75" s="9">
        <f>I75+I75*J76</f>
        <v>4084.9863282378137</v>
      </c>
      <c r="K75" s="9">
        <f t="shared" ref="K75:N75" si="106">J75+J75*K76</f>
        <v>5067.450137227408</v>
      </c>
      <c r="L75" s="9">
        <f t="shared" si="106"/>
        <v>6286.2024080172469</v>
      </c>
      <c r="M75" s="9">
        <f t="shared" si="106"/>
        <v>7798.0719384409585</v>
      </c>
      <c r="N75" s="9">
        <f t="shared" si="106"/>
        <v>9673.5551943960709</v>
      </c>
      <c r="O75" s="1" t="s">
        <v>236</v>
      </c>
      <c r="P75" s="87"/>
    </row>
    <row r="76" spans="1:21" x14ac:dyDescent="0.35">
      <c r="A76" s="39" t="s">
        <v>128</v>
      </c>
      <c r="B76" s="40" t="str">
        <f t="shared" ref="B76:I76" si="107">+IFERROR(B75/A75-1,"nm")</f>
        <v>nm</v>
      </c>
      <c r="C76" s="40" t="str">
        <f t="shared" si="107"/>
        <v>nm</v>
      </c>
      <c r="D76" s="40" t="str">
        <f t="shared" si="107"/>
        <v>nm</v>
      </c>
      <c r="E76" s="40" t="str">
        <f t="shared" si="107"/>
        <v>nm</v>
      </c>
      <c r="F76" s="40">
        <f t="shared" si="107"/>
        <v>0.25708884688090738</v>
      </c>
      <c r="G76" s="40">
        <f t="shared" si="107"/>
        <v>-0.22756892230576442</v>
      </c>
      <c r="H76" s="40">
        <f t="shared" si="107"/>
        <v>0.58014276443867629</v>
      </c>
      <c r="I76" s="40">
        <f t="shared" si="107"/>
        <v>0.3523613963039014</v>
      </c>
      <c r="J76" s="40">
        <f>AVERAGE(F76,G76,H76,I76)</f>
        <v>0.24050602132943016</v>
      </c>
      <c r="K76" s="40">
        <f>J76</f>
        <v>0.24050602132943016</v>
      </c>
      <c r="L76" s="40">
        <f t="shared" ref="L76:N76" si="108">K76</f>
        <v>0.24050602132943016</v>
      </c>
      <c r="M76" s="40">
        <f t="shared" si="108"/>
        <v>0.24050602132943016</v>
      </c>
      <c r="N76" s="40">
        <f t="shared" si="108"/>
        <v>0.24050602132943016</v>
      </c>
      <c r="P76" s="87"/>
    </row>
    <row r="77" spans="1:21" x14ac:dyDescent="0.35">
      <c r="A77" s="39" t="s">
        <v>130</v>
      </c>
      <c r="B77" s="40" t="str">
        <f t="shared" ref="B77:H77" si="109">+IFERROR(B75/B$52,"nm")</f>
        <v>nm</v>
      </c>
      <c r="C77" s="40" t="str">
        <f t="shared" si="109"/>
        <v>nm</v>
      </c>
      <c r="D77" s="40" t="str">
        <f t="shared" si="109"/>
        <v>nm</v>
      </c>
      <c r="E77" s="40">
        <f t="shared" si="109"/>
        <v>0.17171607877082881</v>
      </c>
      <c r="F77" s="40">
        <f t="shared" si="109"/>
        <v>0.20332246229107215</v>
      </c>
      <c r="G77" s="40">
        <f t="shared" si="109"/>
        <v>0.16486573232053064</v>
      </c>
      <c r="H77" s="40">
        <f t="shared" si="109"/>
        <v>0.21255237430167598</v>
      </c>
      <c r="I77" s="40">
        <f>+IFERROR(I75/I$52,"nm")</f>
        <v>0.26388332398429359</v>
      </c>
      <c r="J77" s="42">
        <f>+IFERROR(J75/J52,"nm")</f>
        <v>0.29534544349414094</v>
      </c>
      <c r="K77" s="42">
        <f>+IFERROR(K75/K52,"nm")</f>
        <v>0.33035317690044846</v>
      </c>
      <c r="L77" s="42">
        <f>+IFERROR(L75/L52,"nm")</f>
        <v>0.36927784018935161</v>
      </c>
      <c r="M77" s="42">
        <f>+IFERROR(M75/M52,"nm")</f>
        <v>0.4125261881828769</v>
      </c>
      <c r="N77" s="42">
        <f>+IFERROR(N75/N52,"nm")</f>
        <v>0.46054345049921541</v>
      </c>
      <c r="P77" s="87"/>
    </row>
    <row r="78" spans="1:21" x14ac:dyDescent="0.35">
      <c r="A78" s="9" t="s">
        <v>134</v>
      </c>
      <c r="B78" s="9">
        <f>+Historicals!B180</f>
        <v>0</v>
      </c>
      <c r="C78" s="9">
        <f>+Historicals!C180</f>
        <v>234</v>
      </c>
      <c r="D78" s="9">
        <f>+Historicals!D180</f>
        <v>173</v>
      </c>
      <c r="E78" s="9">
        <f>Historicals!E180</f>
        <v>240</v>
      </c>
      <c r="F78" s="9">
        <f>Historicals!F180</f>
        <v>233</v>
      </c>
      <c r="G78" s="9">
        <f>Historicals!G180</f>
        <v>139</v>
      </c>
      <c r="H78" s="9">
        <f>Historicals!H180</f>
        <v>153</v>
      </c>
      <c r="I78" s="9">
        <f>Historicals!I180</f>
        <v>197</v>
      </c>
      <c r="J78" s="9">
        <f>I78+I78*J79</f>
        <v>215.96196456776724</v>
      </c>
      <c r="K78" s="9">
        <f t="shared" ref="K78:N78" si="110">J78+J78*K79</f>
        <v>236.74908700492159</v>
      </c>
      <c r="L78" s="9">
        <f t="shared" si="110"/>
        <v>259.53704537669097</v>
      </c>
      <c r="M78" s="9">
        <f t="shared" si="110"/>
        <v>284.5184273993093</v>
      </c>
      <c r="N78" s="9">
        <f t="shared" si="110"/>
        <v>311.90435805526135</v>
      </c>
      <c r="O78" s="1" t="s">
        <v>235</v>
      </c>
      <c r="P78" s="87"/>
    </row>
    <row r="79" spans="1:21" x14ac:dyDescent="0.35">
      <c r="A79" s="39" t="s">
        <v>128</v>
      </c>
      <c r="B79" s="40" t="str">
        <f t="shared" ref="B79:I79" si="111">+IFERROR(B78/A78-1,"nm")</f>
        <v>nm</v>
      </c>
      <c r="C79" s="40" t="str">
        <f t="shared" si="111"/>
        <v>nm</v>
      </c>
      <c r="D79" s="40">
        <f t="shared" si="111"/>
        <v>-0.26068376068376065</v>
      </c>
      <c r="E79" s="40">
        <f t="shared" si="111"/>
        <v>0.38728323699421963</v>
      </c>
      <c r="F79" s="40">
        <f t="shared" si="111"/>
        <v>-2.9166666666666674E-2</v>
      </c>
      <c r="G79" s="40">
        <f t="shared" si="111"/>
        <v>-0.40343347639484983</v>
      </c>
      <c r="H79" s="40">
        <f t="shared" si="111"/>
        <v>0.10071942446043169</v>
      </c>
      <c r="I79" s="40">
        <f t="shared" si="111"/>
        <v>0.28758169934640532</v>
      </c>
      <c r="J79" s="40">
        <f>AVERAGE(D79,E79,F79,I79)</f>
        <v>9.6253627247549406E-2</v>
      </c>
      <c r="K79" s="40">
        <f>J79</f>
        <v>9.6253627247549406E-2</v>
      </c>
      <c r="L79" s="40">
        <f t="shared" ref="L79:N79" si="112">K79</f>
        <v>9.6253627247549406E-2</v>
      </c>
      <c r="M79" s="40">
        <f t="shared" si="112"/>
        <v>9.6253627247549406E-2</v>
      </c>
      <c r="N79" s="40">
        <f t="shared" si="112"/>
        <v>9.6253627247549406E-2</v>
      </c>
      <c r="P79" s="87"/>
    </row>
    <row r="80" spans="1:21" x14ac:dyDescent="0.35">
      <c r="A80" s="39" t="s">
        <v>132</v>
      </c>
      <c r="B80" s="40" t="str">
        <f t="shared" ref="B80:H80" si="113">+IFERROR(B78/B$52,"nm")</f>
        <v>nm</v>
      </c>
      <c r="C80" s="40" t="str">
        <f t="shared" si="113"/>
        <v>nm</v>
      </c>
      <c r="D80" s="40" t="str">
        <f t="shared" si="113"/>
        <v>nm</v>
      </c>
      <c r="E80" s="40">
        <f t="shared" si="113"/>
        <v>2.5968405107119671E-2</v>
      </c>
      <c r="F80" s="40">
        <f t="shared" si="113"/>
        <v>2.3746432939258051E-2</v>
      </c>
      <c r="G80" s="40">
        <f t="shared" si="113"/>
        <v>1.4871081630469669E-2</v>
      </c>
      <c r="H80" s="40">
        <f t="shared" si="113"/>
        <v>1.3355446927374302E-2</v>
      </c>
      <c r="I80" s="40">
        <f>+IFERROR(I78/I$52,"nm")</f>
        <v>1.5786521355877874E-2</v>
      </c>
      <c r="J80" s="42">
        <f>+IFERROR(J78/J52,"nm")</f>
        <v>1.5614099308539941E-2</v>
      </c>
      <c r="K80" s="42">
        <f>+IFERROR(K78/K52,"nm")</f>
        <v>1.5433958085900099E-2</v>
      </c>
      <c r="L80" s="42">
        <f>+IFERROR(L78/L52,"nm")</f>
        <v>1.524629233121684E-2</v>
      </c>
      <c r="M80" s="42">
        <f>+IFERROR(M78/M52,"nm")</f>
        <v>1.5051323359077565E-2</v>
      </c>
      <c r="N80" s="42">
        <f>+IFERROR(N78/N52,"nm")</f>
        <v>1.4849298566852364E-2</v>
      </c>
      <c r="P80" s="87"/>
    </row>
    <row r="81" spans="1:16" x14ac:dyDescent="0.35">
      <c r="A81" s="9" t="s">
        <v>140</v>
      </c>
      <c r="B81" s="9">
        <f>Historicals!B168</f>
        <v>0</v>
      </c>
      <c r="C81" s="9">
        <f>Historicals!C168</f>
        <v>0</v>
      </c>
      <c r="D81" s="9">
        <f>Historicals!D168</f>
        <v>709</v>
      </c>
      <c r="E81" s="9">
        <f>Historicals!E168</f>
        <v>849</v>
      </c>
      <c r="F81" s="9">
        <f>Historicals!F168</f>
        <v>929</v>
      </c>
      <c r="G81" s="9">
        <f>Historicals!G168</f>
        <v>885</v>
      </c>
      <c r="H81" s="9">
        <f>Historicals!H168</f>
        <v>982</v>
      </c>
      <c r="I81" s="9">
        <f>Historicals!I168</f>
        <v>920</v>
      </c>
      <c r="J81" s="9">
        <f>I81+I81*J82</f>
        <v>973.50628460174437</v>
      </c>
      <c r="K81" s="9">
        <f t="shared" ref="K81:N81" si="114">J81+J81*K82</f>
        <v>1030.1244414772746</v>
      </c>
      <c r="L81" s="9">
        <f t="shared" si="114"/>
        <v>1090.0354540217268</v>
      </c>
      <c r="M81" s="9">
        <f t="shared" si="114"/>
        <v>1153.4308314444204</v>
      </c>
      <c r="N81" s="9">
        <f t="shared" si="114"/>
        <v>1220.5132209397375</v>
      </c>
      <c r="O81" s="1" t="s">
        <v>237</v>
      </c>
      <c r="P81" s="87"/>
    </row>
    <row r="82" spans="1:16" x14ac:dyDescent="0.35">
      <c r="A82" s="39" t="s">
        <v>128</v>
      </c>
      <c r="B82" s="40" t="str">
        <f t="shared" ref="B82:H82" si="115">+IFERROR(B81/A81-1,"nm")</f>
        <v>nm</v>
      </c>
      <c r="C82" s="40" t="str">
        <f t="shared" si="115"/>
        <v>nm</v>
      </c>
      <c r="D82" s="40" t="str">
        <f t="shared" si="115"/>
        <v>nm</v>
      </c>
      <c r="E82" s="40">
        <f t="shared" si="115"/>
        <v>0.19746121297602248</v>
      </c>
      <c r="F82" s="40">
        <f t="shared" si="115"/>
        <v>9.4228504122497059E-2</v>
      </c>
      <c r="G82" s="40">
        <f t="shared" si="115"/>
        <v>-4.7362755651237931E-2</v>
      </c>
      <c r="H82" s="40">
        <f t="shared" si="115"/>
        <v>0.1096045197740112</v>
      </c>
      <c r="I82" s="40">
        <f>+IFERROR(I81/H81-1,"nm")</f>
        <v>-6.313645621181263E-2</v>
      </c>
      <c r="J82" s="40">
        <f>AVERAGE(E82:I82)</f>
        <v>5.8159005001896039E-2</v>
      </c>
      <c r="K82" s="40">
        <f>J82</f>
        <v>5.8159005001896039E-2</v>
      </c>
      <c r="L82" s="40">
        <f t="shared" ref="L82:N82" si="116">K82</f>
        <v>5.8159005001896039E-2</v>
      </c>
      <c r="M82" s="40">
        <f t="shared" si="116"/>
        <v>5.8159005001896039E-2</v>
      </c>
      <c r="N82" s="40">
        <f t="shared" si="116"/>
        <v>5.8159005001896039E-2</v>
      </c>
      <c r="P82" s="87"/>
    </row>
    <row r="83" spans="1:16" x14ac:dyDescent="0.35">
      <c r="A83" s="39" t="s">
        <v>132</v>
      </c>
      <c r="B83" s="40" t="str">
        <f t="shared" ref="B83:I83" si="117">+IFERROR(B81/B$52,"nm")</f>
        <v>nm</v>
      </c>
      <c r="C83" s="40" t="str">
        <f t="shared" si="117"/>
        <v>nm</v>
      </c>
      <c r="D83" s="40" t="str">
        <f t="shared" si="117"/>
        <v>nm</v>
      </c>
      <c r="E83" s="40">
        <f t="shared" si="117"/>
        <v>9.1863233066435832E-2</v>
      </c>
      <c r="F83" s="40">
        <f t="shared" si="117"/>
        <v>9.4679983693436609E-2</v>
      </c>
      <c r="G83" s="40">
        <f t="shared" si="117"/>
        <v>9.4682785920616241E-2</v>
      </c>
      <c r="H83" s="40">
        <f t="shared" si="117"/>
        <v>8.5719273743016758E-2</v>
      </c>
      <c r="I83" s="40">
        <f t="shared" si="117"/>
        <v>7.37238560782114E-2</v>
      </c>
      <c r="J83" s="42">
        <f>+IFERROR(J81/J52,"nm")</f>
        <v>7.0384726475710521E-2</v>
      </c>
      <c r="K83" s="42">
        <f>+IFERROR(K81/K52,"nm")</f>
        <v>6.7155052862742384E-2</v>
      </c>
      <c r="L83" s="42">
        <f>+IFERROR(L81/L52,"nm")</f>
        <v>6.4033244885273219E-2</v>
      </c>
      <c r="M83" s="42">
        <f>+IFERROR(M81/M52,"nm")</f>
        <v>6.1017701296495384E-2</v>
      </c>
      <c r="N83" s="42">
        <f>+IFERROR(N81/N52,"nm")</f>
        <v>5.8106803430151968E-2</v>
      </c>
      <c r="P83" s="87"/>
    </row>
    <row r="84" spans="1:16" x14ac:dyDescent="0.35">
      <c r="A84" s="36" t="s">
        <v>101</v>
      </c>
      <c r="B84" s="36"/>
      <c r="C84" s="36"/>
      <c r="D84" s="36"/>
      <c r="E84" s="36"/>
      <c r="F84" s="36"/>
      <c r="G84" s="36"/>
      <c r="H84" s="36"/>
      <c r="I84" s="36"/>
      <c r="J84" s="36"/>
      <c r="K84" s="36"/>
      <c r="L84" s="36"/>
      <c r="M84" s="36"/>
      <c r="N84" s="36"/>
      <c r="P84" s="87" t="s">
        <v>238</v>
      </c>
    </row>
    <row r="85" spans="1:16" x14ac:dyDescent="0.35">
      <c r="A85" s="9" t="s">
        <v>135</v>
      </c>
      <c r="B85" s="9">
        <f>Historicals!B117</f>
        <v>3067</v>
      </c>
      <c r="C85" s="9">
        <f>Historicals!C117</f>
        <v>3785</v>
      </c>
      <c r="D85" s="9">
        <f>Historicals!D117</f>
        <v>4237</v>
      </c>
      <c r="E85" s="9">
        <f>Historicals!E117</f>
        <v>5134</v>
      </c>
      <c r="F85" s="9">
        <f>Historicals!F117</f>
        <v>6208</v>
      </c>
      <c r="G85" s="9">
        <f>Historicals!G117</f>
        <v>6679</v>
      </c>
      <c r="H85" s="9">
        <f>Historicals!H117</f>
        <v>8290</v>
      </c>
      <c r="I85" s="9">
        <f>Historicals!I117</f>
        <v>7547</v>
      </c>
      <c r="J85" s="9">
        <f>+SUM(J89+J93+J97)</f>
        <v>8760.2033333333347</v>
      </c>
      <c r="K85" s="9">
        <f t="shared" ref="K85:N85" si="118">+SUM(K89+K93+K97)</f>
        <v>10179.687427777779</v>
      </c>
      <c r="L85" s="9">
        <f t="shared" si="118"/>
        <v>11841.525932398148</v>
      </c>
      <c r="M85" s="9">
        <f t="shared" si="118"/>
        <v>13788.2123530073</v>
      </c>
      <c r="N85" s="9">
        <f t="shared" si="118"/>
        <v>16069.815425263887</v>
      </c>
      <c r="P85" s="87"/>
    </row>
    <row r="86" spans="1:16" x14ac:dyDescent="0.35">
      <c r="A86" s="37" t="s">
        <v>128</v>
      </c>
      <c r="B86" s="40" t="str">
        <f t="shared" ref="B86:H86" si="119">+IFERROR(B85/A85-1,"nm")</f>
        <v>nm</v>
      </c>
      <c r="C86" s="40">
        <f t="shared" si="119"/>
        <v>0.23410498858819695</v>
      </c>
      <c r="D86" s="40">
        <f t="shared" si="119"/>
        <v>0.11941875825627468</v>
      </c>
      <c r="E86" s="40">
        <f t="shared" si="119"/>
        <v>0.21170639603493036</v>
      </c>
      <c r="F86" s="40">
        <f t="shared" si="119"/>
        <v>0.20919361121932223</v>
      </c>
      <c r="G86" s="40">
        <f t="shared" si="119"/>
        <v>7.5869845360824639E-2</v>
      </c>
      <c r="H86" s="40">
        <f t="shared" si="119"/>
        <v>0.24120377301991325</v>
      </c>
      <c r="I86" s="40">
        <f>+IFERROR(I85/H85-1,"nm")</f>
        <v>-8.9626055488540413E-2</v>
      </c>
      <c r="J86" s="40">
        <f t="shared" ref="J86" si="120">+IFERROR(J85/I85-1,"nm")</f>
        <v>0.1607530586104855</v>
      </c>
      <c r="K86" s="40">
        <f>+IFERROR(K85/J85-1,"nm")</f>
        <v>0.16203780214132513</v>
      </c>
      <c r="L86" s="40">
        <f t="shared" ref="L86:N86" si="121">+IFERROR(L85/K85-1,"nm")</f>
        <v>0.16325044520381193</v>
      </c>
      <c r="M86" s="40">
        <f t="shared" si="121"/>
        <v>0.1643948957020025</v>
      </c>
      <c r="N86" s="40">
        <f t="shared" si="121"/>
        <v>0.16547490086769323</v>
      </c>
      <c r="P86" s="87"/>
    </row>
    <row r="87" spans="1:16" x14ac:dyDescent="0.35">
      <c r="A87" s="37" t="s">
        <v>136</v>
      </c>
      <c r="B87" s="40">
        <f>Historicals!B212</f>
        <v>0.19</v>
      </c>
      <c r="C87" s="40">
        <f>Historicals!C212</f>
        <v>0.27</v>
      </c>
      <c r="D87" s="40">
        <f>Historicals!D212</f>
        <v>0.17</v>
      </c>
      <c r="E87" s="40">
        <f>Historicals!E212</f>
        <v>0.18</v>
      </c>
      <c r="F87" s="40">
        <f>Historicals!F212</f>
        <v>0.24</v>
      </c>
      <c r="G87" s="40">
        <f>Historicals!G212</f>
        <v>0.11</v>
      </c>
      <c r="H87" s="40">
        <f>Historicals!H212</f>
        <v>0.19</v>
      </c>
      <c r="I87" s="40">
        <f>Historicals!I212</f>
        <v>-0.13</v>
      </c>
      <c r="J87" s="42">
        <f>J86-J88</f>
        <v>0.1607530586104855</v>
      </c>
      <c r="K87" s="42">
        <f t="shared" ref="K87:N87" si="122">K86-K88</f>
        <v>0.16203780214132513</v>
      </c>
      <c r="L87" s="42">
        <f t="shared" si="122"/>
        <v>0.16325044520381193</v>
      </c>
      <c r="M87" s="42">
        <f t="shared" si="122"/>
        <v>0.1643948957020025</v>
      </c>
      <c r="N87" s="42">
        <f t="shared" si="122"/>
        <v>0.16547490086769323</v>
      </c>
      <c r="P87" s="87"/>
    </row>
    <row r="88" spans="1:16" x14ac:dyDescent="0.35">
      <c r="A88" s="37" t="s">
        <v>137</v>
      </c>
      <c r="B88" s="40" t="str">
        <f t="shared" ref="B88:I88" si="123">+IFERROR(B86-B87,"nm")</f>
        <v>nm</v>
      </c>
      <c r="C88" s="40">
        <f t="shared" si="123"/>
        <v>-3.5895011411803068E-2</v>
      </c>
      <c r="D88" s="40">
        <f t="shared" si="123"/>
        <v>-5.058124174372533E-2</v>
      </c>
      <c r="E88" s="40">
        <f t="shared" si="123"/>
        <v>3.1706396034930362E-2</v>
      </c>
      <c r="F88" s="40">
        <f t="shared" si="123"/>
        <v>-3.0806388780677763E-2</v>
      </c>
      <c r="G88" s="40">
        <f t="shared" si="123"/>
        <v>-3.4130154639175361E-2</v>
      </c>
      <c r="H88" s="40">
        <f t="shared" si="123"/>
        <v>5.1203773019913246E-2</v>
      </c>
      <c r="I88" s="40">
        <f t="shared" si="123"/>
        <v>4.0373944511459592E-2</v>
      </c>
      <c r="J88" s="42">
        <v>0</v>
      </c>
      <c r="K88" s="42">
        <v>0</v>
      </c>
      <c r="L88" s="42">
        <v>0</v>
      </c>
      <c r="M88" s="42">
        <v>0</v>
      </c>
      <c r="N88" s="42">
        <v>0</v>
      </c>
      <c r="P88" s="87"/>
    </row>
    <row r="89" spans="1:16" x14ac:dyDescent="0.35">
      <c r="A89" s="38" t="s">
        <v>112</v>
      </c>
      <c r="B89" s="45">
        <f>Historicals!B118</f>
        <v>2016</v>
      </c>
      <c r="C89" s="45">
        <f>Historicals!C118</f>
        <v>2599</v>
      </c>
      <c r="D89" s="45">
        <f>Historicals!D118</f>
        <v>2920</v>
      </c>
      <c r="E89" s="45">
        <f>Historicals!E118</f>
        <v>3496</v>
      </c>
      <c r="F89" s="45">
        <f>Historicals!F118</f>
        <v>4262</v>
      </c>
      <c r="G89" s="45">
        <f>Historicals!G118</f>
        <v>4635</v>
      </c>
      <c r="H89" s="45">
        <f>Historicals!H118</f>
        <v>5748</v>
      </c>
      <c r="I89" s="45">
        <f>Historicals!I118</f>
        <v>5416</v>
      </c>
      <c r="J89" s="3">
        <f>+I89*(1+J90)</f>
        <v>6408.9333333333334</v>
      </c>
      <c r="K89" s="3">
        <f>+J89*(1+K90)</f>
        <v>7583.9044444444444</v>
      </c>
      <c r="L89" s="3">
        <f t="shared" ref="L89:N89" si="124">+K89*(1+L90)</f>
        <v>8974.286925925926</v>
      </c>
      <c r="M89" s="3">
        <f t="shared" si="124"/>
        <v>10619.57286234568</v>
      </c>
      <c r="N89" s="3">
        <f t="shared" si="124"/>
        <v>12566.494553775721</v>
      </c>
      <c r="O89" s="1" t="s">
        <v>230</v>
      </c>
      <c r="P89" s="87"/>
    </row>
    <row r="90" spans="1:16" x14ac:dyDescent="0.35">
      <c r="A90" s="37" t="s">
        <v>128</v>
      </c>
      <c r="B90" s="40" t="str">
        <f t="shared" ref="B90:I98" si="125">+IFERROR(B89/A89-1,"nm")</f>
        <v>nm</v>
      </c>
      <c r="C90" s="40">
        <f t="shared" si="125"/>
        <v>0.28918650793650791</v>
      </c>
      <c r="D90" s="40">
        <f t="shared" si="125"/>
        <v>0.12350904193920731</v>
      </c>
      <c r="E90" s="40">
        <f t="shared" si="125"/>
        <v>0.19726027397260282</v>
      </c>
      <c r="F90" s="40">
        <f t="shared" si="125"/>
        <v>0.21910755148741412</v>
      </c>
      <c r="G90" s="40">
        <f t="shared" si="125"/>
        <v>8.7517597372125833E-2</v>
      </c>
      <c r="H90" s="40">
        <f t="shared" si="125"/>
        <v>0.24012944983818763</v>
      </c>
      <c r="I90" s="40">
        <f t="shared" si="125"/>
        <v>-5.7759220598469052E-2</v>
      </c>
      <c r="J90" s="40">
        <f>+J91+J92</f>
        <v>0.18333333333333335</v>
      </c>
      <c r="K90" s="40">
        <f t="shared" ref="K90:N90" si="126">+K91+K92</f>
        <v>0.18333333333333335</v>
      </c>
      <c r="L90" s="40">
        <f t="shared" si="126"/>
        <v>0.18333333333333335</v>
      </c>
      <c r="M90" s="40">
        <f t="shared" si="126"/>
        <v>0.18333333333333335</v>
      </c>
      <c r="N90" s="40">
        <f t="shared" si="126"/>
        <v>0.18333333333333335</v>
      </c>
      <c r="P90" s="87"/>
    </row>
    <row r="91" spans="1:16" x14ac:dyDescent="0.35">
      <c r="A91" s="37" t="s">
        <v>136</v>
      </c>
      <c r="B91" s="40">
        <f>Historicals!B213</f>
        <v>0.28000000000000003</v>
      </c>
      <c r="C91" s="40">
        <f>Historicals!C213</f>
        <v>0.33</v>
      </c>
      <c r="D91" s="40">
        <f>Historicals!D213</f>
        <v>0.18</v>
      </c>
      <c r="E91" s="40">
        <f>Historicals!E213</f>
        <v>0.16</v>
      </c>
      <c r="F91" s="40">
        <f>Historicals!F213</f>
        <v>0.25</v>
      </c>
      <c r="G91" s="40">
        <f>Historicals!G213</f>
        <v>0.12</v>
      </c>
      <c r="H91" s="40">
        <f>Historicals!H213</f>
        <v>0.19</v>
      </c>
      <c r="I91" s="40">
        <f>Historicals!I213</f>
        <v>-0.1</v>
      </c>
      <c r="J91" s="42">
        <f>AVERAGE(B91,C91,D91,E91,F91,I91)</f>
        <v>0.18333333333333335</v>
      </c>
      <c r="K91" s="42">
        <f>+J91</f>
        <v>0.18333333333333335</v>
      </c>
      <c r="L91" s="42">
        <f t="shared" ref="L91:N91" si="127">+K91</f>
        <v>0.18333333333333335</v>
      </c>
      <c r="M91" s="42">
        <f t="shared" si="127"/>
        <v>0.18333333333333335</v>
      </c>
      <c r="N91" s="42">
        <f t="shared" si="127"/>
        <v>0.18333333333333335</v>
      </c>
      <c r="P91" s="87"/>
    </row>
    <row r="92" spans="1:16" x14ac:dyDescent="0.35">
      <c r="A92" s="37" t="s">
        <v>137</v>
      </c>
      <c r="B92" s="40" t="str">
        <f t="shared" ref="B92:I92" si="128">+IFERROR(B90-B91,"nm")</f>
        <v>nm</v>
      </c>
      <c r="C92" s="40">
        <f t="shared" si="128"/>
        <v>-4.0813492063492107E-2</v>
      </c>
      <c r="D92" s="40">
        <f t="shared" si="128"/>
        <v>-5.6490958060792684E-2</v>
      </c>
      <c r="E92" s="40">
        <f t="shared" si="128"/>
        <v>3.7260273972602814E-2</v>
      </c>
      <c r="F92" s="40">
        <f t="shared" si="128"/>
        <v>-3.0892448512585879E-2</v>
      </c>
      <c r="G92" s="40">
        <f t="shared" si="128"/>
        <v>-3.2482402627874163E-2</v>
      </c>
      <c r="H92" s="40">
        <f t="shared" si="128"/>
        <v>5.0129449838187623E-2</v>
      </c>
      <c r="I92" s="40">
        <f t="shared" si="128"/>
        <v>4.2240779401530953E-2</v>
      </c>
      <c r="J92" s="42">
        <v>0</v>
      </c>
      <c r="K92" s="42">
        <v>0</v>
      </c>
      <c r="L92" s="42">
        <v>0</v>
      </c>
      <c r="M92" s="42">
        <v>0</v>
      </c>
      <c r="N92" s="42">
        <v>0</v>
      </c>
      <c r="P92" s="87"/>
    </row>
    <row r="93" spans="1:16" x14ac:dyDescent="0.35">
      <c r="A93" s="38" t="s">
        <v>113</v>
      </c>
      <c r="B93" s="45">
        <f>Historicals!B119</f>
        <v>925</v>
      </c>
      <c r="C93" s="45">
        <f>Historicals!C119</f>
        <v>1055</v>
      </c>
      <c r="D93" s="45">
        <f>Historicals!D119</f>
        <v>1188</v>
      </c>
      <c r="E93" s="45">
        <f>Historicals!E119</f>
        <v>1508</v>
      </c>
      <c r="F93" s="45">
        <f>Historicals!F119</f>
        <v>1808</v>
      </c>
      <c r="G93" s="45">
        <f>Historicals!G119</f>
        <v>1896</v>
      </c>
      <c r="H93" s="45">
        <f>Historicals!H119</f>
        <v>2347</v>
      </c>
      <c r="I93" s="45">
        <f>Historicals!I119</f>
        <v>1938</v>
      </c>
      <c r="J93" s="3">
        <f>+I93*(1+J94)</f>
        <v>2154.41</v>
      </c>
      <c r="K93" s="3">
        <f>+J93*(1+K94)</f>
        <v>2394.9857833333331</v>
      </c>
      <c r="L93" s="3">
        <f t="shared" ref="L93:N93" si="129">+K93*(1+L94)</f>
        <v>2662.4258624722215</v>
      </c>
      <c r="M93" s="3">
        <f t="shared" si="129"/>
        <v>2959.7300837816192</v>
      </c>
      <c r="N93" s="3">
        <f t="shared" si="129"/>
        <v>3290.2332764705666</v>
      </c>
      <c r="O93" s="1" t="s">
        <v>230</v>
      </c>
      <c r="P93" s="87"/>
    </row>
    <row r="94" spans="1:16" x14ac:dyDescent="0.35">
      <c r="A94" s="37" t="s">
        <v>128</v>
      </c>
      <c r="B94" s="40" t="str">
        <f t="shared" ref="B94:H94" si="130">+IFERROR(B93/A93-1,"nm")</f>
        <v>nm</v>
      </c>
      <c r="C94" s="40">
        <f t="shared" si="130"/>
        <v>0.14054054054054044</v>
      </c>
      <c r="D94" s="40">
        <f t="shared" si="130"/>
        <v>0.12606635071090055</v>
      </c>
      <c r="E94" s="40">
        <f t="shared" si="130"/>
        <v>0.26936026936026947</v>
      </c>
      <c r="F94" s="40">
        <f t="shared" si="130"/>
        <v>0.19893899204244025</v>
      </c>
      <c r="G94" s="40">
        <f t="shared" si="130"/>
        <v>4.8672566371681381E-2</v>
      </c>
      <c r="H94" s="40">
        <f t="shared" si="130"/>
        <v>0.2378691983122363</v>
      </c>
      <c r="I94" s="40">
        <f t="shared" si="125"/>
        <v>-0.17426501917341286</v>
      </c>
      <c r="J94" s="40">
        <f>+J95+J96</f>
        <v>0.11166666666666668</v>
      </c>
      <c r="K94" s="40">
        <f t="shared" ref="K94:N94" si="131">+K95+K96</f>
        <v>0.11166666666666668</v>
      </c>
      <c r="L94" s="40">
        <f t="shared" si="131"/>
        <v>0.11166666666666668</v>
      </c>
      <c r="M94" s="40">
        <f t="shared" si="131"/>
        <v>0.11166666666666668</v>
      </c>
      <c r="N94" s="40">
        <f t="shared" si="131"/>
        <v>0.11166666666666668</v>
      </c>
      <c r="P94" s="87"/>
    </row>
    <row r="95" spans="1:16" x14ac:dyDescent="0.35">
      <c r="A95" s="37" t="s">
        <v>136</v>
      </c>
      <c r="B95" s="40">
        <f>Historicals!B214</f>
        <v>7.0000000000000007E-2</v>
      </c>
      <c r="C95" s="40">
        <f>Historicals!C214</f>
        <v>0.17</v>
      </c>
      <c r="D95" s="40">
        <f>Historicals!D214</f>
        <v>0.18</v>
      </c>
      <c r="E95" s="40">
        <f>Historicals!E214</f>
        <v>0.23</v>
      </c>
      <c r="F95" s="40">
        <f>Historicals!F214</f>
        <v>0.23</v>
      </c>
      <c r="G95" s="40">
        <f>Historicals!G214</f>
        <v>0.08</v>
      </c>
      <c r="H95" s="40">
        <f>Historicals!H214</f>
        <v>0.19</v>
      </c>
      <c r="I95" s="40">
        <f>Historicals!I214</f>
        <v>-0.21</v>
      </c>
      <c r="J95" s="42">
        <f>AVERAGE(B95,C95,D95,E95,F95,I95)</f>
        <v>0.11166666666666668</v>
      </c>
      <c r="K95" s="42">
        <f>+J95</f>
        <v>0.11166666666666668</v>
      </c>
      <c r="L95" s="42">
        <f t="shared" ref="L95:N95" si="132">+K95</f>
        <v>0.11166666666666668</v>
      </c>
      <c r="M95" s="42">
        <f t="shared" si="132"/>
        <v>0.11166666666666668</v>
      </c>
      <c r="N95" s="42">
        <f t="shared" si="132"/>
        <v>0.11166666666666668</v>
      </c>
      <c r="P95" s="87"/>
    </row>
    <row r="96" spans="1:16" x14ac:dyDescent="0.35">
      <c r="A96" s="37" t="s">
        <v>137</v>
      </c>
      <c r="B96" s="40" t="str">
        <f t="shared" ref="B96:I96" si="133">+IFERROR(B94-B95,"nm")</f>
        <v>nm</v>
      </c>
      <c r="C96" s="40">
        <f t="shared" si="133"/>
        <v>-2.9459459459459575E-2</v>
      </c>
      <c r="D96" s="40">
        <f t="shared" si="133"/>
        <v>-5.3933649289099439E-2</v>
      </c>
      <c r="E96" s="40">
        <f t="shared" si="133"/>
        <v>3.9360269360269456E-2</v>
      </c>
      <c r="F96" s="40">
        <f t="shared" si="133"/>
        <v>-3.1061007957559755E-2</v>
      </c>
      <c r="G96" s="40">
        <f t="shared" si="133"/>
        <v>-3.1327433628318621E-2</v>
      </c>
      <c r="H96" s="40">
        <f t="shared" si="133"/>
        <v>4.7869198312236294E-2</v>
      </c>
      <c r="I96" s="40">
        <f t="shared" si="133"/>
        <v>3.5734980826587132E-2</v>
      </c>
      <c r="J96" s="42">
        <v>0</v>
      </c>
      <c r="K96" s="42">
        <v>0</v>
      </c>
      <c r="L96" s="42">
        <v>0</v>
      </c>
      <c r="M96" s="42">
        <v>0</v>
      </c>
      <c r="N96" s="42">
        <v>0</v>
      </c>
      <c r="P96" s="87"/>
    </row>
    <row r="97" spans="1:21" x14ac:dyDescent="0.35">
      <c r="A97" s="38" t="s">
        <v>114</v>
      </c>
      <c r="B97" s="3">
        <f t="shared" ref="B97:I97" si="134">B85-B89-B93</f>
        <v>126</v>
      </c>
      <c r="C97" s="3">
        <f t="shared" si="134"/>
        <v>131</v>
      </c>
      <c r="D97" s="3">
        <f t="shared" si="134"/>
        <v>129</v>
      </c>
      <c r="E97" s="3">
        <f t="shared" si="134"/>
        <v>130</v>
      </c>
      <c r="F97" s="3">
        <f t="shared" si="134"/>
        <v>138</v>
      </c>
      <c r="G97" s="3">
        <f t="shared" si="134"/>
        <v>148</v>
      </c>
      <c r="H97" s="3">
        <f t="shared" si="134"/>
        <v>195</v>
      </c>
      <c r="I97" s="3">
        <f t="shared" si="134"/>
        <v>193</v>
      </c>
      <c r="J97" s="3">
        <f>+I97*(1+J98)</f>
        <v>196.86</v>
      </c>
      <c r="K97" s="3">
        <f>+J97*(1+K98)</f>
        <v>200.7972</v>
      </c>
      <c r="L97" s="3">
        <f t="shared" ref="L97:N97" si="135">+K97*(1+L98)</f>
        <v>204.81314399999999</v>
      </c>
      <c r="M97" s="3">
        <f t="shared" si="135"/>
        <v>208.90940688000001</v>
      </c>
      <c r="N97" s="3">
        <f t="shared" si="135"/>
        <v>213.08759501760002</v>
      </c>
      <c r="O97" s="1" t="s">
        <v>230</v>
      </c>
      <c r="P97" s="87"/>
    </row>
    <row r="98" spans="1:21" x14ac:dyDescent="0.35">
      <c r="A98" s="37" t="s">
        <v>128</v>
      </c>
      <c r="B98" s="40" t="str">
        <f t="shared" ref="B98:H98" si="136">+IFERROR(B97/A97-1,"nm")</f>
        <v>nm</v>
      </c>
      <c r="C98" s="40">
        <f t="shared" si="136"/>
        <v>3.9682539682539764E-2</v>
      </c>
      <c r="D98" s="40">
        <f t="shared" si="136"/>
        <v>-1.5267175572519109E-2</v>
      </c>
      <c r="E98" s="40">
        <f t="shared" si="136"/>
        <v>7.7519379844961378E-3</v>
      </c>
      <c r="F98" s="40">
        <f t="shared" si="136"/>
        <v>6.1538461538461542E-2</v>
      </c>
      <c r="G98" s="40">
        <f t="shared" si="136"/>
        <v>7.2463768115942129E-2</v>
      </c>
      <c r="H98" s="40">
        <f t="shared" si="136"/>
        <v>0.31756756756756754</v>
      </c>
      <c r="I98" s="40">
        <f t="shared" si="125"/>
        <v>-1.025641025641022E-2</v>
      </c>
      <c r="J98" s="40">
        <f>+J99+J100</f>
        <v>0.02</v>
      </c>
      <c r="K98" s="40">
        <f t="shared" ref="K98:N98" si="137">+K99+K100</f>
        <v>0.02</v>
      </c>
      <c r="L98" s="40">
        <f t="shared" si="137"/>
        <v>0.02</v>
      </c>
      <c r="M98" s="40">
        <f t="shared" si="137"/>
        <v>0.02</v>
      </c>
      <c r="N98" s="40">
        <f t="shared" si="137"/>
        <v>0.02</v>
      </c>
      <c r="P98" s="87"/>
    </row>
    <row r="99" spans="1:21" x14ac:dyDescent="0.35">
      <c r="A99" s="37" t="s">
        <v>136</v>
      </c>
      <c r="B99" s="40">
        <f>Historicals!B215</f>
        <v>0.01</v>
      </c>
      <c r="C99" s="40">
        <f>Historicals!C215</f>
        <v>7.0000000000000007E-2</v>
      </c>
      <c r="D99" s="40">
        <f>Historicals!D215</f>
        <v>0.03</v>
      </c>
      <c r="E99" s="40">
        <f>Historicals!E215</f>
        <v>-0.01</v>
      </c>
      <c r="F99" s="40">
        <f>Historicals!F215</f>
        <v>0.08</v>
      </c>
      <c r="G99" s="40">
        <f>Historicals!G215</f>
        <v>0.11</v>
      </c>
      <c r="H99" s="40">
        <f>Historicals!H215</f>
        <v>0.26</v>
      </c>
      <c r="I99" s="40">
        <f>Historicals!I215</f>
        <v>-0.06</v>
      </c>
      <c r="J99" s="42">
        <f>AVERAGE(B99,C99,D99,E99,F99,I99)</f>
        <v>0.02</v>
      </c>
      <c r="K99" s="42">
        <f>+J99</f>
        <v>0.02</v>
      </c>
      <c r="L99" s="42">
        <f t="shared" ref="L99:N99" si="138">+K99</f>
        <v>0.02</v>
      </c>
      <c r="M99" s="42">
        <f t="shared" si="138"/>
        <v>0.02</v>
      </c>
      <c r="N99" s="42">
        <f t="shared" si="138"/>
        <v>0.02</v>
      </c>
      <c r="P99" s="87"/>
    </row>
    <row r="100" spans="1:21" x14ac:dyDescent="0.35">
      <c r="A100" s="37" t="s">
        <v>137</v>
      </c>
      <c r="B100" s="40" t="str">
        <f t="shared" ref="B100:I100" si="139">+IFERROR(B98-B99,"nm")</f>
        <v>nm</v>
      </c>
      <c r="C100" s="40">
        <f t="shared" si="139"/>
        <v>-3.0317460317460243E-2</v>
      </c>
      <c r="D100" s="40">
        <f t="shared" si="139"/>
        <v>-4.5267175572519108E-2</v>
      </c>
      <c r="E100" s="40">
        <f t="shared" si="139"/>
        <v>1.775193798449614E-2</v>
      </c>
      <c r="F100" s="40">
        <f t="shared" si="139"/>
        <v>-1.846153846153846E-2</v>
      </c>
      <c r="G100" s="40">
        <f t="shared" si="139"/>
        <v>-3.7536231884057872E-2</v>
      </c>
      <c r="H100" s="40">
        <f t="shared" si="139"/>
        <v>5.7567567567567535E-2</v>
      </c>
      <c r="I100" s="40">
        <f t="shared" si="139"/>
        <v>4.9743589743589778E-2</v>
      </c>
      <c r="J100" s="42">
        <v>0</v>
      </c>
      <c r="K100" s="42">
        <v>0</v>
      </c>
      <c r="L100" s="42">
        <v>0</v>
      </c>
      <c r="M100" s="42">
        <v>0</v>
      </c>
      <c r="N100" s="42">
        <v>0</v>
      </c>
      <c r="P100" s="87"/>
    </row>
    <row r="101" spans="1:21" x14ac:dyDescent="0.35">
      <c r="A101" s="9" t="s">
        <v>129</v>
      </c>
      <c r="B101" s="41">
        <f t="shared" ref="B101:I101" si="140">+B108+B104</f>
        <v>1039</v>
      </c>
      <c r="C101" s="41">
        <f t="shared" si="140"/>
        <v>1420</v>
      </c>
      <c r="D101" s="41">
        <f t="shared" si="140"/>
        <v>1561</v>
      </c>
      <c r="E101" s="41">
        <f t="shared" si="140"/>
        <v>1863</v>
      </c>
      <c r="F101" s="41">
        <f t="shared" si="140"/>
        <v>2426</v>
      </c>
      <c r="G101" s="41">
        <f t="shared" si="140"/>
        <v>2534</v>
      </c>
      <c r="H101" s="41">
        <f t="shared" si="140"/>
        <v>3289</v>
      </c>
      <c r="I101" s="41">
        <f t="shared" si="140"/>
        <v>2406</v>
      </c>
      <c r="J101" s="41">
        <f>+J108+J104</f>
        <v>2748.0309453114724</v>
      </c>
      <c r="K101" s="41">
        <f t="shared" ref="K101:N101" si="141">+K108+K104</f>
        <v>3139.5517401455213</v>
      </c>
      <c r="L101" s="41">
        <f t="shared" si="141"/>
        <v>3587.7214494924019</v>
      </c>
      <c r="M101" s="41">
        <f t="shared" si="141"/>
        <v>4100.7347526800504</v>
      </c>
      <c r="N101" s="41">
        <f t="shared" si="141"/>
        <v>4687.9717530213284</v>
      </c>
      <c r="O101" s="1" t="s">
        <v>231</v>
      </c>
      <c r="P101" s="87"/>
    </row>
    <row r="102" spans="1:21" x14ac:dyDescent="0.35">
      <c r="A102" s="39" t="s">
        <v>128</v>
      </c>
      <c r="B102" s="40" t="str">
        <f t="shared" ref="B102:I102" si="142">+IFERROR(B101/A101-1,"nm")</f>
        <v>nm</v>
      </c>
      <c r="C102" s="40">
        <f t="shared" si="142"/>
        <v>0.36669874879692022</v>
      </c>
      <c r="D102" s="40">
        <f t="shared" si="142"/>
        <v>9.9295774647887303E-2</v>
      </c>
      <c r="E102" s="40">
        <f t="shared" si="142"/>
        <v>0.19346572709801402</v>
      </c>
      <c r="F102" s="40">
        <f t="shared" si="142"/>
        <v>0.3022007514761138</v>
      </c>
      <c r="G102" s="40">
        <f t="shared" si="142"/>
        <v>4.4517724649629109E-2</v>
      </c>
      <c r="H102" s="40">
        <f t="shared" si="142"/>
        <v>0.29794790844514596</v>
      </c>
      <c r="I102" s="40">
        <f t="shared" si="142"/>
        <v>-0.26847065977500761</v>
      </c>
      <c r="J102" s="40">
        <f>+IFERROR(J101/I101-1,"nm")</f>
        <v>0.1421575001294566</v>
      </c>
      <c r="K102" s="40">
        <f>+IFERROR(K101/J101-1,"nm")</f>
        <v>0.14247321177443029</v>
      </c>
      <c r="L102" s="40">
        <f t="shared" ref="L102:N102" si="143">+IFERROR(L101/K101-1,"nm")</f>
        <v>0.14274958543161564</v>
      </c>
      <c r="M102" s="40">
        <f t="shared" si="143"/>
        <v>0.14299139730043153</v>
      </c>
      <c r="N102" s="40">
        <f t="shared" si="143"/>
        <v>0.14320287357222683</v>
      </c>
      <c r="P102" s="87"/>
    </row>
    <row r="103" spans="1:21" x14ac:dyDescent="0.35">
      <c r="A103" s="39" t="s">
        <v>130</v>
      </c>
      <c r="B103" s="40">
        <f t="shared" ref="B103:I103" si="144">+IFERROR(B101/B$85,"nm")</f>
        <v>0.33876752526899251</v>
      </c>
      <c r="C103" s="40">
        <f t="shared" si="144"/>
        <v>0.37516512549537651</v>
      </c>
      <c r="D103" s="40">
        <f t="shared" si="144"/>
        <v>0.36842105263157893</v>
      </c>
      <c r="E103" s="40">
        <f t="shared" si="144"/>
        <v>0.36287495130502534</v>
      </c>
      <c r="F103" s="40">
        <f t="shared" si="144"/>
        <v>0.3907860824742268</v>
      </c>
      <c r="G103" s="40">
        <f t="shared" si="144"/>
        <v>0.37939811349004343</v>
      </c>
      <c r="H103" s="40">
        <f t="shared" si="144"/>
        <v>0.39674306393244874</v>
      </c>
      <c r="I103" s="40">
        <f t="shared" si="144"/>
        <v>0.31880217304889358</v>
      </c>
      <c r="J103" s="42">
        <f>+IFERROR(J101/J85,"nm")</f>
        <v>0.31369488135680318</v>
      </c>
      <c r="K103" s="42">
        <f>+IFERROR(K101/K85,"nm")</f>
        <v>0.30841337343801761</v>
      </c>
      <c r="L103" s="42">
        <f>+IFERROR(L101/L85,"nm")</f>
        <v>0.30297796668894478</v>
      </c>
      <c r="M103" s="42">
        <f>+IFERROR(M101/M85,"nm")</f>
        <v>0.29740873201634821</v>
      </c>
      <c r="N103" s="42">
        <f>+IFERROR(N101/N85,"nm")</f>
        <v>0.29172530168897981</v>
      </c>
      <c r="P103" s="87"/>
    </row>
    <row r="104" spans="1:21" x14ac:dyDescent="0.35">
      <c r="A104" s="9" t="s">
        <v>131</v>
      </c>
      <c r="B104" s="9">
        <f>Historicals!B193</f>
        <v>46</v>
      </c>
      <c r="C104" s="9">
        <f>Historicals!C193</f>
        <v>48</v>
      </c>
      <c r="D104" s="9">
        <f>Historicals!D193</f>
        <v>54</v>
      </c>
      <c r="E104" s="9">
        <f>Historicals!E193</f>
        <v>56</v>
      </c>
      <c r="F104" s="9">
        <f>Historicals!F193</f>
        <v>50</v>
      </c>
      <c r="G104" s="9">
        <f>Historicals!G193</f>
        <v>44</v>
      </c>
      <c r="H104" s="9">
        <f>Historicals!H193</f>
        <v>46</v>
      </c>
      <c r="I104" s="9">
        <f>Historicals!I193</f>
        <v>41</v>
      </c>
      <c r="J104" s="9">
        <f>I104+I104*J105</f>
        <v>40.915349666436626</v>
      </c>
      <c r="K104" s="9">
        <f t="shared" ref="K104:N104" si="145">J104+J104*K105</f>
        <v>40.830874105531109</v>
      </c>
      <c r="L104" s="9">
        <f t="shared" si="145"/>
        <v>40.746572956440438</v>
      </c>
      <c r="M104" s="9">
        <f t="shared" si="145"/>
        <v>40.662445859066608</v>
      </c>
      <c r="N104" s="9">
        <f t="shared" si="145"/>
        <v>40.57849245405508</v>
      </c>
      <c r="O104" s="1" t="s">
        <v>232</v>
      </c>
      <c r="P104" s="87"/>
    </row>
    <row r="105" spans="1:21" x14ac:dyDescent="0.35">
      <c r="A105" s="39" t="s">
        <v>128</v>
      </c>
      <c r="B105" s="40" t="str">
        <f t="shared" ref="B105:I105" si="146">+IFERROR(B104/A104-1,"nm")</f>
        <v>nm</v>
      </c>
      <c r="C105" s="40">
        <f t="shared" si="146"/>
        <v>4.3478260869565188E-2</v>
      </c>
      <c r="D105" s="40">
        <f t="shared" si="146"/>
        <v>0.125</v>
      </c>
      <c r="E105" s="40">
        <f t="shared" si="146"/>
        <v>3.7037037037036979E-2</v>
      </c>
      <c r="F105" s="40">
        <f t="shared" si="146"/>
        <v>-0.1071428571428571</v>
      </c>
      <c r="G105" s="40">
        <f t="shared" si="146"/>
        <v>-0.12</v>
      </c>
      <c r="H105" s="40">
        <f t="shared" si="146"/>
        <v>4.5454545454545414E-2</v>
      </c>
      <c r="I105" s="40">
        <f t="shared" si="146"/>
        <v>-0.10869565217391308</v>
      </c>
      <c r="J105" s="40">
        <f>AVERAGE(C105,D105,E105,F105,I105)</f>
        <v>-2.064642282033602E-3</v>
      </c>
      <c r="K105" s="40">
        <f>J105</f>
        <v>-2.064642282033602E-3</v>
      </c>
      <c r="L105" s="40">
        <f t="shared" ref="L105:N105" si="147">K105</f>
        <v>-2.064642282033602E-3</v>
      </c>
      <c r="M105" s="40">
        <f t="shared" si="147"/>
        <v>-2.064642282033602E-3</v>
      </c>
      <c r="N105" s="40">
        <f t="shared" si="147"/>
        <v>-2.064642282033602E-3</v>
      </c>
      <c r="P105" s="87"/>
    </row>
    <row r="106" spans="1:21" x14ac:dyDescent="0.35">
      <c r="A106" s="39" t="s">
        <v>132</v>
      </c>
      <c r="B106" s="40">
        <f t="shared" ref="B106:I106" si="148">+IFERROR(B104/B$85,"nm")</f>
        <v>1.4998369742419302E-2</v>
      </c>
      <c r="C106" s="40">
        <f t="shared" si="148"/>
        <v>1.2681638044914135E-2</v>
      </c>
      <c r="D106" s="40">
        <f t="shared" si="148"/>
        <v>1.2744866650932263E-2</v>
      </c>
      <c r="E106" s="40">
        <f t="shared" si="148"/>
        <v>1.090767432800935E-2</v>
      </c>
      <c r="F106" s="40">
        <f t="shared" si="148"/>
        <v>8.0541237113402053E-3</v>
      </c>
      <c r="G106" s="40">
        <f t="shared" si="148"/>
        <v>6.5878125467884411E-3</v>
      </c>
      <c r="H106" s="40">
        <f t="shared" si="148"/>
        <v>5.5488540410132689E-3</v>
      </c>
      <c r="I106" s="40">
        <f t="shared" si="148"/>
        <v>5.4326222340002651E-3</v>
      </c>
      <c r="J106" s="40">
        <f>+IFERROR(J104/J85,"nm")</f>
        <v>4.670593604916699E-3</v>
      </c>
      <c r="K106" s="40">
        <f>+IFERROR(K104/K85,"nm")</f>
        <v>4.0110145223235475E-3</v>
      </c>
      <c r="L106" s="40">
        <f>+IFERROR(L104/L85,"nm")</f>
        <v>3.4409900539050238E-3</v>
      </c>
      <c r="M106" s="40">
        <f>+IFERROR(M104/M85,"nm")</f>
        <v>2.9490730790926538E-3</v>
      </c>
      <c r="N106" s="40">
        <f>+IFERROR(N104/N85,"nm")</f>
        <v>2.5251374318998273E-3</v>
      </c>
      <c r="P106" s="87"/>
      <c r="R106" s="55"/>
      <c r="S106" s="55"/>
      <c r="T106" s="55"/>
      <c r="U106" s="55"/>
    </row>
    <row r="107" spans="1:21" x14ac:dyDescent="0.35">
      <c r="A107" s="39" t="s">
        <v>139</v>
      </c>
      <c r="B107" s="40">
        <f t="shared" ref="B107:I107" si="149">+IFERROR(B104/B114,"nm")</f>
        <v>0.18110236220472442</v>
      </c>
      <c r="C107" s="40">
        <f t="shared" si="149"/>
        <v>0.20512820512820512</v>
      </c>
      <c r="D107" s="40">
        <f t="shared" si="149"/>
        <v>0.24</v>
      </c>
      <c r="E107" s="40">
        <f t="shared" si="149"/>
        <v>0.21875</v>
      </c>
      <c r="F107" s="40">
        <f t="shared" si="149"/>
        <v>0.2109704641350211</v>
      </c>
      <c r="G107" s="40">
        <f t="shared" si="149"/>
        <v>0.20560747663551401</v>
      </c>
      <c r="H107" s="40">
        <f t="shared" si="149"/>
        <v>0.15972222222222221</v>
      </c>
      <c r="I107" s="40">
        <f t="shared" si="149"/>
        <v>0.13531353135313531</v>
      </c>
      <c r="J107" s="42">
        <f>+IFERROR(J104/J114,"nm")</f>
        <v>0.13042838369641843</v>
      </c>
      <c r="K107" s="42">
        <f t="shared" ref="K107:N107" si="150">+IFERROR(K104/K114,"nm")</f>
        <v>0.12571960175412253</v>
      </c>
      <c r="L107" s="42">
        <f t="shared" si="150"/>
        <v>0.12118081829491527</v>
      </c>
      <c r="M107" s="42">
        <f t="shared" si="150"/>
        <v>0.11680589596000479</v>
      </c>
      <c r="N107" s="42">
        <f t="shared" si="150"/>
        <v>0.11258891896418187</v>
      </c>
      <c r="P107" s="87"/>
      <c r="R107" s="71"/>
      <c r="S107" s="72"/>
      <c r="T107" s="72"/>
      <c r="U107" s="72"/>
    </row>
    <row r="108" spans="1:21" x14ac:dyDescent="0.35">
      <c r="A108" s="9" t="s">
        <v>133</v>
      </c>
      <c r="B108" s="9">
        <f>+Historicals!B154</f>
        <v>993</v>
      </c>
      <c r="C108" s="9">
        <f>+Historicals!C154</f>
        <v>1372</v>
      </c>
      <c r="D108" s="9">
        <f>+Historicals!D154</f>
        <v>1507</v>
      </c>
      <c r="E108" s="9">
        <f>+Historicals!E154</f>
        <v>1807</v>
      </c>
      <c r="F108" s="9">
        <f>+Historicals!F154</f>
        <v>2376</v>
      </c>
      <c r="G108" s="9">
        <f>+Historicals!G154</f>
        <v>2490</v>
      </c>
      <c r="H108" s="9">
        <f>+Historicals!H154</f>
        <v>3243</v>
      </c>
      <c r="I108" s="9">
        <f>+Historicals!I154</f>
        <v>2365</v>
      </c>
      <c r="J108" s="9">
        <f>I108+I108*J109</f>
        <v>2707.1155956450357</v>
      </c>
      <c r="K108" s="9">
        <f t="shared" ref="K108:N108" si="151">J108+J108*K109</f>
        <v>3098.7208660399901</v>
      </c>
      <c r="L108" s="9">
        <f t="shared" si="151"/>
        <v>3546.9748765359614</v>
      </c>
      <c r="M108" s="9">
        <f t="shared" si="151"/>
        <v>4060.0723068209836</v>
      </c>
      <c r="N108" s="9">
        <f t="shared" si="151"/>
        <v>4647.3932605672735</v>
      </c>
      <c r="O108" s="1" t="s">
        <v>232</v>
      </c>
      <c r="P108" s="87"/>
      <c r="R108" s="71"/>
      <c r="S108" s="72"/>
      <c r="T108" s="72"/>
      <c r="U108" s="72"/>
    </row>
    <row r="109" spans="1:21" x14ac:dyDescent="0.35">
      <c r="A109" s="39" t="s">
        <v>128</v>
      </c>
      <c r="B109" s="40" t="str">
        <f t="shared" ref="B109:I109" si="152">+IFERROR(B108/A108-1,"nm")</f>
        <v>nm</v>
      </c>
      <c r="C109" s="40">
        <f t="shared" si="152"/>
        <v>0.38167170191339372</v>
      </c>
      <c r="D109" s="40">
        <f t="shared" si="152"/>
        <v>9.8396501457725938E-2</v>
      </c>
      <c r="E109" s="40">
        <f t="shared" si="152"/>
        <v>0.19907100199071004</v>
      </c>
      <c r="F109" s="40">
        <f t="shared" si="152"/>
        <v>0.31488655229662421</v>
      </c>
      <c r="G109" s="40">
        <f t="shared" si="152"/>
        <v>4.7979797979798011E-2</v>
      </c>
      <c r="H109" s="40">
        <f t="shared" si="152"/>
        <v>0.30240963855421676</v>
      </c>
      <c r="I109" s="40">
        <f t="shared" si="152"/>
        <v>-0.27073697193956214</v>
      </c>
      <c r="J109" s="40">
        <f>AVERAGE(C109,D109,E109,F109,I109)</f>
        <v>0.14465775714377835</v>
      </c>
      <c r="K109" s="40">
        <f>J109</f>
        <v>0.14465775714377835</v>
      </c>
      <c r="L109" s="40">
        <f t="shared" ref="L109:N109" si="153">K109</f>
        <v>0.14465775714377835</v>
      </c>
      <c r="M109" s="40">
        <f t="shared" si="153"/>
        <v>0.14465775714377835</v>
      </c>
      <c r="N109" s="40">
        <f t="shared" si="153"/>
        <v>0.14465775714377835</v>
      </c>
      <c r="P109" s="87"/>
      <c r="R109" s="71"/>
      <c r="S109" s="73"/>
      <c r="T109" s="73"/>
      <c r="U109" s="73"/>
    </row>
    <row r="110" spans="1:21" x14ac:dyDescent="0.35">
      <c r="A110" s="39" t="s">
        <v>130</v>
      </c>
      <c r="B110" s="40">
        <f t="shared" ref="B110:I110" si="154">+IFERROR(B108/B$85,"nm")</f>
        <v>0.3237691555265732</v>
      </c>
      <c r="C110" s="40">
        <f t="shared" si="154"/>
        <v>0.36248348745046233</v>
      </c>
      <c r="D110" s="40">
        <f t="shared" si="154"/>
        <v>0.35567618598064671</v>
      </c>
      <c r="E110" s="40">
        <f t="shared" si="154"/>
        <v>0.35196727697701596</v>
      </c>
      <c r="F110" s="40">
        <f t="shared" si="154"/>
        <v>0.38273195876288657</v>
      </c>
      <c r="G110" s="40">
        <f t="shared" si="154"/>
        <v>0.37281030094325496</v>
      </c>
      <c r="H110" s="40">
        <f t="shared" si="154"/>
        <v>0.39119420989143544</v>
      </c>
      <c r="I110" s="40">
        <f t="shared" si="154"/>
        <v>0.31336955081489332</v>
      </c>
      <c r="J110" s="42">
        <f>+IFERROR(J108/J85,"nm")</f>
        <v>0.30902428775188651</v>
      </c>
      <c r="K110" s="42">
        <f>+IFERROR(K108/K85,"nm")</f>
        <v>0.30440235891569406</v>
      </c>
      <c r="L110" s="42">
        <f>+IFERROR(L108/L85,"nm")</f>
        <v>0.29953697663503975</v>
      </c>
      <c r="M110" s="42">
        <f>+IFERROR(M108/M85,"nm")</f>
        <v>0.29445965893725556</v>
      </c>
      <c r="N110" s="42">
        <f>+IFERROR(N108/N85,"nm")</f>
        <v>0.28920016425707995</v>
      </c>
      <c r="P110" s="87"/>
    </row>
    <row r="111" spans="1:21" x14ac:dyDescent="0.35">
      <c r="A111" s="9" t="s">
        <v>134</v>
      </c>
      <c r="B111" s="9">
        <f>+Historicals!B181</f>
        <v>69</v>
      </c>
      <c r="C111" s="9">
        <f>+Historicals!C181</f>
        <v>44</v>
      </c>
      <c r="D111" s="9">
        <f>+Historicals!D181</f>
        <v>51</v>
      </c>
      <c r="E111" s="9">
        <f>+Historicals!E181</f>
        <v>76</v>
      </c>
      <c r="F111" s="9">
        <f>+Historicals!F181</f>
        <v>49</v>
      </c>
      <c r="G111" s="9">
        <f>+Historicals!G181</f>
        <v>28</v>
      </c>
      <c r="H111" s="9">
        <f>+Historicals!H181</f>
        <v>94</v>
      </c>
      <c r="I111" s="9">
        <f>+Historicals!I181</f>
        <v>78</v>
      </c>
      <c r="J111" s="9">
        <f>I111+I111*J112</f>
        <v>74.279278680210055</v>
      </c>
      <c r="K111" s="9">
        <f t="shared" ref="K111:N111" si="155">J111+J111*K112</f>
        <v>70.73604155451676</v>
      </c>
      <c r="L111" s="9">
        <f t="shared" si="155"/>
        <v>67.361822350806008</v>
      </c>
      <c r="M111" s="9">
        <f t="shared" si="155"/>
        <v>64.148558651311816</v>
      </c>
      <c r="N111" s="9">
        <f t="shared" si="155"/>
        <v>61.088572628135765</v>
      </c>
      <c r="O111" s="1" t="s">
        <v>232</v>
      </c>
      <c r="P111" s="87"/>
    </row>
    <row r="112" spans="1:21" x14ac:dyDescent="0.35">
      <c r="A112" s="39" t="s">
        <v>128</v>
      </c>
      <c r="B112" s="40" t="str">
        <f t="shared" ref="B112:I112" si="156">+IFERROR(B111/A111-1,"nm")</f>
        <v>nm</v>
      </c>
      <c r="C112" s="40">
        <f t="shared" si="156"/>
        <v>-0.3623188405797102</v>
      </c>
      <c r="D112" s="40">
        <f t="shared" si="156"/>
        <v>0.15909090909090917</v>
      </c>
      <c r="E112" s="40">
        <f t="shared" si="156"/>
        <v>0.49019607843137258</v>
      </c>
      <c r="F112" s="40">
        <f t="shared" si="156"/>
        <v>-0.35526315789473684</v>
      </c>
      <c r="G112" s="40">
        <f t="shared" si="156"/>
        <v>-0.4285714285714286</v>
      </c>
      <c r="H112" s="40">
        <f t="shared" si="156"/>
        <v>2.3571428571428572</v>
      </c>
      <c r="I112" s="40">
        <f t="shared" si="156"/>
        <v>-0.17021276595744683</v>
      </c>
      <c r="J112" s="40">
        <f>AVERAGE(C112,D112,E112,F112,I112)</f>
        <v>-4.7701555381922424E-2</v>
      </c>
      <c r="K112" s="40">
        <f>J112</f>
        <v>-4.7701555381922424E-2</v>
      </c>
      <c r="L112" s="40">
        <f t="shared" ref="L112:N112" si="157">K112</f>
        <v>-4.7701555381922424E-2</v>
      </c>
      <c r="M112" s="40">
        <f t="shared" si="157"/>
        <v>-4.7701555381922424E-2</v>
      </c>
      <c r="N112" s="40">
        <f t="shared" si="157"/>
        <v>-4.7701555381922424E-2</v>
      </c>
      <c r="P112" s="87"/>
    </row>
    <row r="113" spans="1:21" x14ac:dyDescent="0.35">
      <c r="A113" s="39" t="s">
        <v>132</v>
      </c>
      <c r="B113" s="40">
        <f t="shared" ref="B113:I113" si="158">+IFERROR(B111/B$85,"nm")</f>
        <v>2.2497554613628953E-2</v>
      </c>
      <c r="C113" s="40">
        <f t="shared" si="158"/>
        <v>1.1624834874504624E-2</v>
      </c>
      <c r="D113" s="40">
        <f t="shared" si="158"/>
        <v>1.2036818503658248E-2</v>
      </c>
      <c r="E113" s="40">
        <f t="shared" si="158"/>
        <v>1.4803272302298403E-2</v>
      </c>
      <c r="F113" s="40">
        <f t="shared" si="158"/>
        <v>7.8930412371134018E-3</v>
      </c>
      <c r="G113" s="40">
        <f t="shared" si="158"/>
        <v>4.1922443479562805E-3</v>
      </c>
      <c r="H113" s="40">
        <f t="shared" si="158"/>
        <v>1.1338962605548853E-2</v>
      </c>
      <c r="I113" s="40">
        <f t="shared" si="158"/>
        <v>1.0335232542732211E-2</v>
      </c>
      <c r="J113" s="42">
        <f>+IFERROR(J111/J85,"nm")</f>
        <v>8.4791728974567236E-3</v>
      </c>
      <c r="K113" s="42">
        <f>+IFERROR(K111/K85,"nm")</f>
        <v>6.9487439625598021E-3</v>
      </c>
      <c r="L113" s="42">
        <f>+IFERROR(L111/L85,"nm")</f>
        <v>5.6886099591696689E-3</v>
      </c>
      <c r="M113" s="42">
        <f>+IFERROR(M111/M85,"nm")</f>
        <v>4.6524202709512658E-3</v>
      </c>
      <c r="N113" s="42">
        <f>+IFERROR(N111/N85,"nm")</f>
        <v>3.8014483061265536E-3</v>
      </c>
      <c r="P113" s="87"/>
      <c r="R113" s="71"/>
      <c r="S113" s="73"/>
      <c r="T113" s="73"/>
      <c r="U113" s="73"/>
    </row>
    <row r="114" spans="1:21" x14ac:dyDescent="0.35">
      <c r="A114" s="9" t="s">
        <v>140</v>
      </c>
      <c r="B114" s="9">
        <f>Historicals!B169</f>
        <v>254</v>
      </c>
      <c r="C114" s="9">
        <f>Historicals!C169</f>
        <v>234</v>
      </c>
      <c r="D114" s="9">
        <f>Historicals!D169</f>
        <v>225</v>
      </c>
      <c r="E114" s="9">
        <f>Historicals!E169</f>
        <v>256</v>
      </c>
      <c r="F114" s="9">
        <f>Historicals!F169</f>
        <v>237</v>
      </c>
      <c r="G114" s="9">
        <f>Historicals!G169</f>
        <v>214</v>
      </c>
      <c r="H114" s="9">
        <f>Historicals!H169</f>
        <v>288</v>
      </c>
      <c r="I114" s="9">
        <f>Historicals!I169</f>
        <v>303</v>
      </c>
      <c r="J114" s="9">
        <f>I114+I114*J115</f>
        <v>313.69973702710359</v>
      </c>
      <c r="K114" s="9">
        <f t="shared" ref="K114:N114" si="159">J114+J114*K115</f>
        <v>324.77731026691072</v>
      </c>
      <c r="L114" s="9">
        <f t="shared" si="159"/>
        <v>336.24606212244203</v>
      </c>
      <c r="M114" s="9">
        <f t="shared" si="159"/>
        <v>348.11980615250565</v>
      </c>
      <c r="N114" s="9">
        <f t="shared" si="159"/>
        <v>360.41284370946306</v>
      </c>
      <c r="O114" s="1" t="s">
        <v>239</v>
      </c>
      <c r="P114" s="87"/>
      <c r="R114" s="55"/>
      <c r="S114" s="41"/>
      <c r="T114" s="41"/>
      <c r="U114" s="41"/>
    </row>
    <row r="115" spans="1:21" x14ac:dyDescent="0.35">
      <c r="A115" s="39" t="s">
        <v>128</v>
      </c>
      <c r="B115" s="40" t="str">
        <f t="shared" ref="B115:H115" si="160">+IFERROR(B114/A114-1,"nm")</f>
        <v>nm</v>
      </c>
      <c r="C115" s="40">
        <f t="shared" si="160"/>
        <v>-7.8740157480314932E-2</v>
      </c>
      <c r="D115" s="40">
        <f t="shared" si="160"/>
        <v>-3.8461538461538436E-2</v>
      </c>
      <c r="E115" s="40">
        <f t="shared" si="160"/>
        <v>0.13777777777777778</v>
      </c>
      <c r="F115" s="40">
        <f t="shared" si="160"/>
        <v>-7.421875E-2</v>
      </c>
      <c r="G115" s="40">
        <f t="shared" si="160"/>
        <v>-9.7046413502109741E-2</v>
      </c>
      <c r="H115" s="40">
        <f t="shared" si="160"/>
        <v>0.34579439252336441</v>
      </c>
      <c r="I115" s="40">
        <f>+IFERROR(I114/H114-1,"nm")</f>
        <v>5.2083333333333259E-2</v>
      </c>
      <c r="J115" s="40">
        <f>AVERAGE(C115:I115)</f>
        <v>3.5312663455787478E-2</v>
      </c>
      <c r="K115" s="40">
        <f>J115</f>
        <v>3.5312663455787478E-2</v>
      </c>
      <c r="L115" s="40">
        <f t="shared" ref="L115:N115" si="161">K115</f>
        <v>3.5312663455787478E-2</v>
      </c>
      <c r="M115" s="40">
        <f t="shared" si="161"/>
        <v>3.5312663455787478E-2</v>
      </c>
      <c r="N115" s="40">
        <f t="shared" si="161"/>
        <v>3.5312663455787478E-2</v>
      </c>
      <c r="P115" s="87"/>
      <c r="R115" s="71"/>
      <c r="S115" s="72"/>
      <c r="T115" s="72"/>
      <c r="U115" s="72"/>
    </row>
    <row r="116" spans="1:21" x14ac:dyDescent="0.35">
      <c r="A116" s="39" t="s">
        <v>132</v>
      </c>
      <c r="B116" s="40">
        <f t="shared" ref="B116:I116" si="162">+IFERROR(B114/B$85,"nm")</f>
        <v>8.2817085099445714E-2</v>
      </c>
      <c r="C116" s="40">
        <f t="shared" si="162"/>
        <v>6.1822985468956405E-2</v>
      </c>
      <c r="D116" s="40">
        <f t="shared" si="162"/>
        <v>5.31036110455511E-2</v>
      </c>
      <c r="E116" s="40">
        <f t="shared" si="162"/>
        <v>4.9863654070899883E-2</v>
      </c>
      <c r="F116" s="40">
        <f t="shared" si="162"/>
        <v>3.817654639175258E-2</v>
      </c>
      <c r="G116" s="40">
        <f t="shared" si="162"/>
        <v>3.2040724659380147E-2</v>
      </c>
      <c r="H116" s="40">
        <f t="shared" si="162"/>
        <v>3.4740651387213509E-2</v>
      </c>
      <c r="I116" s="40">
        <f t="shared" si="162"/>
        <v>4.0148403339075128E-2</v>
      </c>
      <c r="J116" s="42">
        <f>+IFERROR(J114/J85,"nm")</f>
        <v>3.5809641065458933E-2</v>
      </c>
      <c r="K116" s="42">
        <f>+IFERROR(K114/K85,"nm")</f>
        <v>3.1904448203456226E-2</v>
      </c>
      <c r="L116" s="42">
        <f>+IFERROR(L114/L85,"nm")</f>
        <v>2.8395501056369801E-2</v>
      </c>
      <c r="M116" s="42">
        <f>+IFERROR(M114/M85,"nm")</f>
        <v>2.5247638870065588E-2</v>
      </c>
      <c r="N116" s="42">
        <f>+IFERROR(N114/N85,"nm")</f>
        <v>2.2427939224668764E-2</v>
      </c>
      <c r="P116" s="87"/>
      <c r="R116" s="71"/>
      <c r="S116" s="73"/>
      <c r="T116" s="73"/>
      <c r="U116" s="73"/>
    </row>
    <row r="117" spans="1:21" x14ac:dyDescent="0.35">
      <c r="A117" s="36" t="s">
        <v>105</v>
      </c>
      <c r="B117" s="36"/>
      <c r="C117" s="36"/>
      <c r="D117" s="36"/>
      <c r="E117" s="36"/>
      <c r="F117" s="36"/>
      <c r="G117" s="36"/>
      <c r="H117" s="36"/>
      <c r="I117" s="36"/>
      <c r="J117" s="36"/>
      <c r="K117" s="36"/>
      <c r="L117" s="36"/>
      <c r="M117" s="36"/>
      <c r="N117" s="36"/>
      <c r="P117" s="87" t="s">
        <v>240</v>
      </c>
    </row>
    <row r="118" spans="1:21" x14ac:dyDescent="0.35">
      <c r="A118" s="9" t="s">
        <v>135</v>
      </c>
      <c r="B118" s="9">
        <f>Historicals!B121</f>
        <v>0</v>
      </c>
      <c r="C118" s="9">
        <f>Historicals!C121</f>
        <v>0</v>
      </c>
      <c r="D118" s="9">
        <f>Historicals!D121</f>
        <v>0</v>
      </c>
      <c r="E118" s="9">
        <f>Historicals!E121</f>
        <v>5166</v>
      </c>
      <c r="F118" s="9">
        <f>Historicals!F121</f>
        <v>5254</v>
      </c>
      <c r="G118" s="9">
        <f>Historicals!G121</f>
        <v>5028</v>
      </c>
      <c r="H118" s="9">
        <f>Historicals!H121</f>
        <v>5343</v>
      </c>
      <c r="I118" s="9">
        <f>Historicals!I121</f>
        <v>5955</v>
      </c>
      <c r="J118" s="9">
        <f>+SUM(J122+J126+J130)</f>
        <v>6731.0549999999994</v>
      </c>
      <c r="K118" s="9">
        <f t="shared" ref="K118:N118" si="163">+SUM(K122+K126+K130)</f>
        <v>7609.2716999999993</v>
      </c>
      <c r="L118" s="9">
        <f t="shared" si="163"/>
        <v>8603.1736693124985</v>
      </c>
      <c r="M118" s="9">
        <f t="shared" si="163"/>
        <v>9728.0802738914063</v>
      </c>
      <c r="N118" s="9">
        <f t="shared" si="163"/>
        <v>11001.345589975781</v>
      </c>
      <c r="P118" s="87"/>
    </row>
    <row r="119" spans="1:21" x14ac:dyDescent="0.35">
      <c r="A119" s="37" t="s">
        <v>128</v>
      </c>
      <c r="B119" s="40" t="str">
        <f t="shared" ref="B119:J119" si="164">+IFERROR(B118/A118-1,"nm")</f>
        <v>nm</v>
      </c>
      <c r="C119" s="40" t="str">
        <f t="shared" si="164"/>
        <v>nm</v>
      </c>
      <c r="D119" s="40" t="str">
        <f t="shared" si="164"/>
        <v>nm</v>
      </c>
      <c r="E119" s="40" t="str">
        <f t="shared" si="164"/>
        <v>nm</v>
      </c>
      <c r="F119" s="40">
        <f t="shared" si="164"/>
        <v>1.7034456058846237E-2</v>
      </c>
      <c r="G119" s="40">
        <f t="shared" si="164"/>
        <v>-4.3014845831747195E-2</v>
      </c>
      <c r="H119" s="40">
        <f t="shared" si="164"/>
        <v>6.2649164677804237E-2</v>
      </c>
      <c r="I119" s="40">
        <f t="shared" si="164"/>
        <v>0.11454239191465465</v>
      </c>
      <c r="J119" s="40">
        <f t="shared" si="164"/>
        <v>0.1303198992443324</v>
      </c>
      <c r="K119" s="40">
        <f>+IFERROR(K118/J118-1,"nm")</f>
        <v>0.13047237023022396</v>
      </c>
      <c r="L119" s="40">
        <f t="shared" ref="L119:N119" si="165">+IFERROR(L118/K118-1,"nm")</f>
        <v>0.13061722704848333</v>
      </c>
      <c r="M119" s="40">
        <f t="shared" si="165"/>
        <v>0.13075484092474476</v>
      </c>
      <c r="N119" s="40">
        <f t="shared" si="165"/>
        <v>0.13088556839951382</v>
      </c>
      <c r="P119" s="87"/>
    </row>
    <row r="120" spans="1:21" x14ac:dyDescent="0.35">
      <c r="A120" s="37" t="s">
        <v>136</v>
      </c>
      <c r="B120" s="40">
        <f>Historicals!B216</f>
        <v>0</v>
      </c>
      <c r="C120" s="40">
        <f>Historicals!C216</f>
        <v>0</v>
      </c>
      <c r="D120" s="40">
        <f>Historicals!D216</f>
        <v>0.13</v>
      </c>
      <c r="E120" s="40">
        <f>Historicals!E216</f>
        <v>0.1</v>
      </c>
      <c r="F120" s="40">
        <f>Historicals!F216</f>
        <v>0.13</v>
      </c>
      <c r="G120" s="40">
        <f>Historicals!G216</f>
        <v>0.01</v>
      </c>
      <c r="H120" s="40">
        <f>Historicals!H216</f>
        <v>0.08</v>
      </c>
      <c r="I120" s="40">
        <f>Historicals!I216</f>
        <v>0.16</v>
      </c>
      <c r="J120" s="42">
        <f>J119-J121</f>
        <v>0.1303198992443324</v>
      </c>
      <c r="K120" s="42">
        <f t="shared" ref="K120:N120" si="166">K119-K121</f>
        <v>0.13047237023022396</v>
      </c>
      <c r="L120" s="42">
        <f t="shared" si="166"/>
        <v>0.13061722704848333</v>
      </c>
      <c r="M120" s="42">
        <f t="shared" si="166"/>
        <v>0.13075484092474476</v>
      </c>
      <c r="N120" s="42">
        <f t="shared" si="166"/>
        <v>0.13088556839951382</v>
      </c>
      <c r="P120" s="87"/>
    </row>
    <row r="121" spans="1:21" x14ac:dyDescent="0.35">
      <c r="A121" s="37" t="s">
        <v>137</v>
      </c>
      <c r="B121" s="40" t="str">
        <f t="shared" ref="B121:H121" si="167">+IFERROR(B119-B120,"nm")</f>
        <v>nm</v>
      </c>
      <c r="C121" s="40" t="str">
        <f t="shared" si="167"/>
        <v>nm</v>
      </c>
      <c r="D121" s="40" t="str">
        <f t="shared" si="167"/>
        <v>nm</v>
      </c>
      <c r="E121" s="40" t="str">
        <f t="shared" si="167"/>
        <v>nm</v>
      </c>
      <c r="F121" s="40">
        <f t="shared" si="167"/>
        <v>-0.11296554394115377</v>
      </c>
      <c r="G121" s="40">
        <f t="shared" si="167"/>
        <v>-5.3014845831747197E-2</v>
      </c>
      <c r="H121" s="40">
        <f t="shared" si="167"/>
        <v>-1.7350835322195765E-2</v>
      </c>
      <c r="I121" s="40">
        <f>+IFERROR(I119-I120,"nm")</f>
        <v>-4.5457608085345352E-2</v>
      </c>
      <c r="J121" s="42">
        <v>0</v>
      </c>
      <c r="K121" s="42">
        <v>0</v>
      </c>
      <c r="L121" s="42">
        <v>0</v>
      </c>
      <c r="M121" s="42">
        <v>0</v>
      </c>
      <c r="N121" s="42">
        <v>0</v>
      </c>
      <c r="P121" s="87"/>
    </row>
    <row r="122" spans="1:21" x14ac:dyDescent="0.35">
      <c r="A122" s="38" t="s">
        <v>112</v>
      </c>
      <c r="B122" s="3">
        <f>Historicals!B122</f>
        <v>0</v>
      </c>
      <c r="C122" s="3">
        <f>Historicals!C122</f>
        <v>0</v>
      </c>
      <c r="D122" s="3">
        <f>Historicals!D122</f>
        <v>0</v>
      </c>
      <c r="E122" s="3">
        <f>Historicals!E122</f>
        <v>3575</v>
      </c>
      <c r="F122" s="3">
        <f>Historicals!F122</f>
        <v>3622</v>
      </c>
      <c r="G122" s="3">
        <f>Historicals!G122</f>
        <v>3449</v>
      </c>
      <c r="H122" s="3">
        <f>Historicals!H122</f>
        <v>3659</v>
      </c>
      <c r="I122" s="3">
        <f>Historicals!I122</f>
        <v>4111</v>
      </c>
      <c r="J122" s="3">
        <f>+I122*(1+J123)</f>
        <v>4665.9849999999997</v>
      </c>
      <c r="K122" s="3">
        <f>+J122*(1+K123)</f>
        <v>5295.8929749999998</v>
      </c>
      <c r="L122" s="3">
        <f t="shared" ref="L122:N122" si="168">+K122*(1+L123)</f>
        <v>6010.8385266249998</v>
      </c>
      <c r="M122" s="3">
        <f t="shared" si="168"/>
        <v>6822.3017277193749</v>
      </c>
      <c r="N122" s="3">
        <f t="shared" si="168"/>
        <v>7743.3124609614906</v>
      </c>
      <c r="O122" s="1" t="s">
        <v>234</v>
      </c>
      <c r="P122" s="87"/>
    </row>
    <row r="123" spans="1:21" x14ac:dyDescent="0.35">
      <c r="A123" s="37" t="s">
        <v>128</v>
      </c>
      <c r="B123" s="40" t="str">
        <f t="shared" ref="B123:H123" si="169">+IFERROR(B122/A122-1,"nm")</f>
        <v>nm</v>
      </c>
      <c r="C123" s="40" t="str">
        <f t="shared" si="169"/>
        <v>nm</v>
      </c>
      <c r="D123" s="40" t="str">
        <f t="shared" si="169"/>
        <v>nm</v>
      </c>
      <c r="E123" s="40" t="str">
        <f t="shared" si="169"/>
        <v>nm</v>
      </c>
      <c r="F123" s="40">
        <f t="shared" si="169"/>
        <v>1.3146853146853044E-2</v>
      </c>
      <c r="G123" s="40">
        <f t="shared" si="169"/>
        <v>-4.7763666482606326E-2</v>
      </c>
      <c r="H123" s="40">
        <f t="shared" si="169"/>
        <v>6.0887213685126174E-2</v>
      </c>
      <c r="I123" s="40">
        <f>+IFERROR(I122/H122-1,"nm")</f>
        <v>0.12353101940420874</v>
      </c>
      <c r="J123" s="40">
        <f>+J124+J125</f>
        <v>0.13500000000000001</v>
      </c>
      <c r="K123" s="40">
        <f t="shared" ref="K123:N123" si="170">+K124+K125</f>
        <v>0.13500000000000001</v>
      </c>
      <c r="L123" s="40">
        <f t="shared" si="170"/>
        <v>0.13500000000000001</v>
      </c>
      <c r="M123" s="40">
        <f t="shared" si="170"/>
        <v>0.13500000000000001</v>
      </c>
      <c r="N123" s="40">
        <f t="shared" si="170"/>
        <v>0.13500000000000001</v>
      </c>
      <c r="P123" s="87"/>
    </row>
    <row r="124" spans="1:21" x14ac:dyDescent="0.35">
      <c r="A124" s="37" t="s">
        <v>136</v>
      </c>
      <c r="B124" s="40">
        <f>Historicals!B217</f>
        <v>0</v>
      </c>
      <c r="C124" s="40">
        <f>Historicals!C217</f>
        <v>0</v>
      </c>
      <c r="D124" s="40">
        <f>Historicals!D217</f>
        <v>0.16</v>
      </c>
      <c r="E124" s="40">
        <f>Historicals!E217</f>
        <v>0.09</v>
      </c>
      <c r="F124" s="40">
        <f>Historicals!F217</f>
        <v>0.12</v>
      </c>
      <c r="G124" s="40">
        <f>Historicals!G217</f>
        <v>0</v>
      </c>
      <c r="H124" s="40">
        <f>Historicals!H217</f>
        <v>0.08</v>
      </c>
      <c r="I124" s="40">
        <f>Historicals!I217</f>
        <v>0.17</v>
      </c>
      <c r="J124" s="42">
        <f>AVERAGE(D124,E124,F124,I124)</f>
        <v>0.13500000000000001</v>
      </c>
      <c r="K124" s="42">
        <f>+J124</f>
        <v>0.13500000000000001</v>
      </c>
      <c r="L124" s="42">
        <f t="shared" ref="L124:N124" si="171">+K124</f>
        <v>0.13500000000000001</v>
      </c>
      <c r="M124" s="42">
        <f t="shared" si="171"/>
        <v>0.13500000000000001</v>
      </c>
      <c r="N124" s="42">
        <f t="shared" si="171"/>
        <v>0.13500000000000001</v>
      </c>
      <c r="P124" s="87"/>
    </row>
    <row r="125" spans="1:21" x14ac:dyDescent="0.35">
      <c r="A125" s="37" t="s">
        <v>137</v>
      </c>
      <c r="B125" s="40" t="str">
        <f t="shared" ref="B125:H125" si="172">+IFERROR(B123-B124,"nm")</f>
        <v>nm</v>
      </c>
      <c r="C125" s="40" t="str">
        <f t="shared" si="172"/>
        <v>nm</v>
      </c>
      <c r="D125" s="40" t="str">
        <f t="shared" si="172"/>
        <v>nm</v>
      </c>
      <c r="E125" s="40" t="str">
        <f t="shared" si="172"/>
        <v>nm</v>
      </c>
      <c r="F125" s="40">
        <f t="shared" si="172"/>
        <v>-0.10685314685314695</v>
      </c>
      <c r="G125" s="40">
        <f t="shared" si="172"/>
        <v>-4.7763666482606326E-2</v>
      </c>
      <c r="H125" s="40">
        <f t="shared" si="172"/>
        <v>-1.9112786314873828E-2</v>
      </c>
      <c r="I125" s="40">
        <f>+IFERROR(I123-I124,"nm")</f>
        <v>-4.646898059579127E-2</v>
      </c>
      <c r="J125" s="42">
        <v>0</v>
      </c>
      <c r="K125" s="42">
        <v>0</v>
      </c>
      <c r="L125" s="42">
        <v>0</v>
      </c>
      <c r="M125" s="42">
        <v>0</v>
      </c>
      <c r="N125" s="42">
        <v>0</v>
      </c>
      <c r="P125" s="87"/>
    </row>
    <row r="126" spans="1:21" x14ac:dyDescent="0.35">
      <c r="A126" s="38" t="s">
        <v>113</v>
      </c>
      <c r="B126" s="3">
        <f>Historicals!B123</f>
        <v>0</v>
      </c>
      <c r="C126" s="3">
        <f>Historicals!C123</f>
        <v>0</v>
      </c>
      <c r="D126" s="3">
        <f>Historicals!D123</f>
        <v>0</v>
      </c>
      <c r="E126" s="3">
        <f>Historicals!E123</f>
        <v>1347</v>
      </c>
      <c r="F126" s="3">
        <f>Historicals!F123</f>
        <v>1395</v>
      </c>
      <c r="G126" s="3">
        <f>Historicals!G123</f>
        <v>1365</v>
      </c>
      <c r="H126" s="3">
        <f>Historicals!H123</f>
        <v>1494</v>
      </c>
      <c r="I126" s="3">
        <f>Historicals!I123</f>
        <v>1610</v>
      </c>
      <c r="J126" s="3">
        <f>+I126*(1+J127)</f>
        <v>1815.2749999999999</v>
      </c>
      <c r="K126" s="3">
        <f>+J126*(1+K127)</f>
        <v>2046.7225624999996</v>
      </c>
      <c r="L126" s="3">
        <f t="shared" ref="L126:N126" si="173">+K126*(1+L127)</f>
        <v>2307.6796892187494</v>
      </c>
      <c r="M126" s="3">
        <f t="shared" si="173"/>
        <v>2601.9088495941401</v>
      </c>
      <c r="N126" s="3">
        <f t="shared" si="173"/>
        <v>2933.6522279173928</v>
      </c>
      <c r="O126" s="1" t="s">
        <v>234</v>
      </c>
      <c r="P126" s="87"/>
    </row>
    <row r="127" spans="1:21" x14ac:dyDescent="0.35">
      <c r="A127" s="37" t="s">
        <v>128</v>
      </c>
      <c r="B127" s="40" t="str">
        <f t="shared" ref="B127:H127" si="174">+IFERROR(B126/A126-1,"nm")</f>
        <v>nm</v>
      </c>
      <c r="C127" s="40" t="str">
        <f t="shared" si="174"/>
        <v>nm</v>
      </c>
      <c r="D127" s="40" t="str">
        <f t="shared" si="174"/>
        <v>nm</v>
      </c>
      <c r="E127" s="40" t="str">
        <f t="shared" si="174"/>
        <v>nm</v>
      </c>
      <c r="F127" s="40">
        <f t="shared" si="174"/>
        <v>3.563474387527843E-2</v>
      </c>
      <c r="G127" s="40">
        <f t="shared" si="174"/>
        <v>-2.1505376344086002E-2</v>
      </c>
      <c r="H127" s="40">
        <f t="shared" si="174"/>
        <v>9.4505494505494614E-2</v>
      </c>
      <c r="I127" s="40">
        <f>+IFERROR(I126/H126-1,"nm")</f>
        <v>7.7643908969210251E-2</v>
      </c>
      <c r="J127" s="40">
        <f>+J128+J129</f>
        <v>0.1275</v>
      </c>
      <c r="K127" s="40">
        <f t="shared" ref="K127:N127" si="175">+K128+K129</f>
        <v>0.1275</v>
      </c>
      <c r="L127" s="40">
        <f t="shared" si="175"/>
        <v>0.1275</v>
      </c>
      <c r="M127" s="40">
        <f t="shared" si="175"/>
        <v>0.1275</v>
      </c>
      <c r="N127" s="40">
        <f t="shared" si="175"/>
        <v>0.1275</v>
      </c>
      <c r="P127" s="87"/>
    </row>
    <row r="128" spans="1:21" x14ac:dyDescent="0.35">
      <c r="A128" s="37" t="s">
        <v>136</v>
      </c>
      <c r="B128" s="40">
        <f>Historicals!B218</f>
        <v>0</v>
      </c>
      <c r="C128" s="40">
        <f>Historicals!C218</f>
        <v>0</v>
      </c>
      <c r="D128" s="40">
        <f>Historicals!D218</f>
        <v>0.09</v>
      </c>
      <c r="E128" s="40">
        <f>Historicals!E218</f>
        <v>0.15</v>
      </c>
      <c r="F128" s="40">
        <f>Historicals!F218</f>
        <v>0.15</v>
      </c>
      <c r="G128" s="40">
        <f>Historicals!G218</f>
        <v>0.03</v>
      </c>
      <c r="H128" s="40">
        <f>Historicals!H218</f>
        <v>0.19</v>
      </c>
      <c r="I128" s="40">
        <f>Historicals!I218</f>
        <v>0.12</v>
      </c>
      <c r="J128" s="42">
        <f>AVERAGE(D128,E128,F128,I128)</f>
        <v>0.1275</v>
      </c>
      <c r="K128" s="42">
        <f>+J128</f>
        <v>0.1275</v>
      </c>
      <c r="L128" s="42">
        <f t="shared" ref="L128:N128" si="176">+K128</f>
        <v>0.1275</v>
      </c>
      <c r="M128" s="42">
        <f t="shared" si="176"/>
        <v>0.1275</v>
      </c>
      <c r="N128" s="42">
        <f t="shared" si="176"/>
        <v>0.1275</v>
      </c>
      <c r="P128" s="87"/>
    </row>
    <row r="129" spans="1:21" x14ac:dyDescent="0.35">
      <c r="A129" s="37" t="s">
        <v>137</v>
      </c>
      <c r="B129" s="40" t="str">
        <f t="shared" ref="B129:H129" si="177">+IFERROR(B127-B128,"nm")</f>
        <v>nm</v>
      </c>
      <c r="C129" s="40" t="str">
        <f t="shared" si="177"/>
        <v>nm</v>
      </c>
      <c r="D129" s="40" t="str">
        <f t="shared" si="177"/>
        <v>nm</v>
      </c>
      <c r="E129" s="40" t="str">
        <f t="shared" si="177"/>
        <v>nm</v>
      </c>
      <c r="F129" s="40">
        <f t="shared" si="177"/>
        <v>-0.11436525612472156</v>
      </c>
      <c r="G129" s="40">
        <f t="shared" si="177"/>
        <v>-5.1505376344086001E-2</v>
      </c>
      <c r="H129" s="40">
        <f t="shared" si="177"/>
        <v>-9.5494505494505388E-2</v>
      </c>
      <c r="I129" s="40">
        <f>+IFERROR(I127-I128,"nm")</f>
        <v>-4.2356091030789744E-2</v>
      </c>
      <c r="J129" s="42">
        <v>0</v>
      </c>
      <c r="K129" s="42">
        <v>0</v>
      </c>
      <c r="L129" s="42">
        <v>0</v>
      </c>
      <c r="M129" s="42">
        <v>0</v>
      </c>
      <c r="N129" s="42">
        <v>0</v>
      </c>
      <c r="P129" s="87"/>
    </row>
    <row r="130" spans="1:21" x14ac:dyDescent="0.35">
      <c r="A130" s="38" t="s">
        <v>114</v>
      </c>
      <c r="B130" s="3">
        <f t="shared" ref="B130:I130" si="178">B118-B122-B126</f>
        <v>0</v>
      </c>
      <c r="C130" s="3">
        <f t="shared" si="178"/>
        <v>0</v>
      </c>
      <c r="D130" s="3">
        <f t="shared" si="178"/>
        <v>0</v>
      </c>
      <c r="E130" s="3">
        <f t="shared" si="178"/>
        <v>244</v>
      </c>
      <c r="F130" s="3">
        <f t="shared" si="178"/>
        <v>237</v>
      </c>
      <c r="G130" s="3">
        <f t="shared" si="178"/>
        <v>214</v>
      </c>
      <c r="H130" s="3">
        <f t="shared" si="178"/>
        <v>190</v>
      </c>
      <c r="I130" s="3">
        <f t="shared" si="178"/>
        <v>234</v>
      </c>
      <c r="J130" s="3">
        <f>+I130*(1+J131)</f>
        <v>249.79499999999999</v>
      </c>
      <c r="K130" s="3">
        <f>+J130*(1+K131)</f>
        <v>266.65616249999994</v>
      </c>
      <c r="L130" s="3">
        <f t="shared" ref="L130:N130" si="179">+K130*(1+L131)</f>
        <v>284.6554534687499</v>
      </c>
      <c r="M130" s="3">
        <f t="shared" si="179"/>
        <v>303.86969657789047</v>
      </c>
      <c r="N130" s="3">
        <f t="shared" si="179"/>
        <v>324.38090109689801</v>
      </c>
      <c r="O130" s="1" t="s">
        <v>234</v>
      </c>
      <c r="P130" s="87"/>
    </row>
    <row r="131" spans="1:21" x14ac:dyDescent="0.35">
      <c r="A131" s="37" t="s">
        <v>128</v>
      </c>
      <c r="B131" s="40" t="str">
        <f t="shared" ref="B131:H131" si="180">+IFERROR(B130/A130-1,"nm")</f>
        <v>nm</v>
      </c>
      <c r="C131" s="40" t="str">
        <f t="shared" si="180"/>
        <v>nm</v>
      </c>
      <c r="D131" s="40" t="str">
        <f t="shared" si="180"/>
        <v>nm</v>
      </c>
      <c r="E131" s="40" t="str">
        <f t="shared" si="180"/>
        <v>nm</v>
      </c>
      <c r="F131" s="40">
        <f t="shared" si="180"/>
        <v>-2.8688524590163911E-2</v>
      </c>
      <c r="G131" s="40">
        <f t="shared" si="180"/>
        <v>-9.7046413502109741E-2</v>
      </c>
      <c r="H131" s="40">
        <f t="shared" si="180"/>
        <v>-0.11214953271028039</v>
      </c>
      <c r="I131" s="40">
        <f>+IFERROR(I130/H130-1,"nm")</f>
        <v>0.23157894736842111</v>
      </c>
      <c r="J131" s="40">
        <f>+J132+J133</f>
        <v>6.7500000000000004E-2</v>
      </c>
      <c r="K131" s="40">
        <f t="shared" ref="K131:N131" si="181">+K132+K133</f>
        <v>6.7500000000000004E-2</v>
      </c>
      <c r="L131" s="40">
        <f t="shared" si="181"/>
        <v>6.7500000000000004E-2</v>
      </c>
      <c r="M131" s="40">
        <f t="shared" si="181"/>
        <v>6.7500000000000004E-2</v>
      </c>
      <c r="N131" s="40">
        <f t="shared" si="181"/>
        <v>6.7500000000000004E-2</v>
      </c>
      <c r="P131" s="87"/>
    </row>
    <row r="132" spans="1:21" x14ac:dyDescent="0.35">
      <c r="A132" s="37" t="s">
        <v>136</v>
      </c>
      <c r="B132" s="40">
        <f>Historicals!B219</f>
        <v>0</v>
      </c>
      <c r="C132" s="40">
        <f>Historicals!C219</f>
        <v>0</v>
      </c>
      <c r="D132" s="40">
        <f>Historicals!D219</f>
        <v>-0.01</v>
      </c>
      <c r="E132" s="40">
        <f>Historicals!E219</f>
        <v>-0.08</v>
      </c>
      <c r="F132" s="40">
        <f>Historicals!F219</f>
        <v>0.08</v>
      </c>
      <c r="G132" s="40">
        <f>Historicals!G219</f>
        <v>-0.04</v>
      </c>
      <c r="H132" s="40">
        <f>Historicals!H219</f>
        <v>-0.09</v>
      </c>
      <c r="I132" s="40">
        <f>Historicals!I219</f>
        <v>0.28000000000000003</v>
      </c>
      <c r="J132" s="42">
        <f>AVERAGE(D132,E132,F132,I132)</f>
        <v>6.7500000000000004E-2</v>
      </c>
      <c r="K132" s="42">
        <f>+J132</f>
        <v>6.7500000000000004E-2</v>
      </c>
      <c r="L132" s="42">
        <f t="shared" ref="L132:N132" si="182">+K132</f>
        <v>6.7500000000000004E-2</v>
      </c>
      <c r="M132" s="42">
        <f t="shared" si="182"/>
        <v>6.7500000000000004E-2</v>
      </c>
      <c r="N132" s="42">
        <f t="shared" si="182"/>
        <v>6.7500000000000004E-2</v>
      </c>
      <c r="P132" s="87"/>
    </row>
    <row r="133" spans="1:21" x14ac:dyDescent="0.35">
      <c r="A133" s="37" t="s">
        <v>137</v>
      </c>
      <c r="B133" s="40" t="str">
        <f t="shared" ref="B133:H133" si="183">+IFERROR(B131-B132,"nm")</f>
        <v>nm</v>
      </c>
      <c r="C133" s="40" t="str">
        <f t="shared" si="183"/>
        <v>nm</v>
      </c>
      <c r="D133" s="40" t="str">
        <f t="shared" si="183"/>
        <v>nm</v>
      </c>
      <c r="E133" s="40" t="str">
        <f t="shared" si="183"/>
        <v>nm</v>
      </c>
      <c r="F133" s="40">
        <f t="shared" si="183"/>
        <v>-0.10868852459016391</v>
      </c>
      <c r="G133" s="40">
        <f t="shared" si="183"/>
        <v>-5.704641350210974E-2</v>
      </c>
      <c r="H133" s="40">
        <f t="shared" si="183"/>
        <v>-2.214953271028039E-2</v>
      </c>
      <c r="I133" s="40">
        <f>+IFERROR(I131-I132,"nm")</f>
        <v>-4.842105263157892E-2</v>
      </c>
      <c r="J133" s="42">
        <v>0</v>
      </c>
      <c r="K133" s="42">
        <v>0</v>
      </c>
      <c r="L133" s="42">
        <v>0</v>
      </c>
      <c r="M133" s="42">
        <v>0</v>
      </c>
      <c r="N133" s="42">
        <v>0</v>
      </c>
      <c r="P133" s="87"/>
    </row>
    <row r="134" spans="1:21" x14ac:dyDescent="0.35">
      <c r="A134" s="9" t="s">
        <v>129</v>
      </c>
      <c r="B134" s="41">
        <f t="shared" ref="B134:I134" si="184">+B141+B137</f>
        <v>0</v>
      </c>
      <c r="C134" s="41">
        <f t="shared" si="184"/>
        <v>42</v>
      </c>
      <c r="D134" s="41">
        <f t="shared" si="184"/>
        <v>54</v>
      </c>
      <c r="E134" s="41">
        <f t="shared" si="184"/>
        <v>1244</v>
      </c>
      <c r="F134" s="41">
        <f t="shared" si="184"/>
        <v>1376</v>
      </c>
      <c r="G134" s="41">
        <f t="shared" si="184"/>
        <v>1230</v>
      </c>
      <c r="H134" s="41">
        <f t="shared" si="184"/>
        <v>1573</v>
      </c>
      <c r="I134" s="41">
        <f t="shared" si="184"/>
        <v>1938</v>
      </c>
      <c r="J134" s="41">
        <f>+J141+J137</f>
        <v>2196.0927942910857</v>
      </c>
      <c r="K134" s="41">
        <f t="shared" ref="K134:N134" si="185">+K141+K137</f>
        <v>2488.7797329751374</v>
      </c>
      <c r="L134" s="41">
        <f t="shared" si="185"/>
        <v>2820.7115139032308</v>
      </c>
      <c r="M134" s="41">
        <f t="shared" si="185"/>
        <v>3197.1649034300958</v>
      </c>
      <c r="N134" s="41">
        <f t="shared" si="185"/>
        <v>3624.1270685675213</v>
      </c>
      <c r="O134" s="1" t="s">
        <v>231</v>
      </c>
      <c r="P134" s="87"/>
      <c r="R134" s="55"/>
      <c r="S134" s="41"/>
      <c r="T134" s="41"/>
      <c r="U134" s="41"/>
    </row>
    <row r="135" spans="1:21" x14ac:dyDescent="0.35">
      <c r="A135" s="39" t="s">
        <v>128</v>
      </c>
      <c r="B135" s="40" t="str">
        <f t="shared" ref="B135:I135" si="186">+IFERROR(B134/A134-1,"nm")</f>
        <v>nm</v>
      </c>
      <c r="C135" s="40" t="str">
        <f t="shared" si="186"/>
        <v>nm</v>
      </c>
      <c r="D135" s="40">
        <f t="shared" si="186"/>
        <v>0.28571428571428581</v>
      </c>
      <c r="E135" s="40">
        <f t="shared" si="186"/>
        <v>22.037037037037038</v>
      </c>
      <c r="F135" s="40">
        <f t="shared" si="186"/>
        <v>0.10610932475884249</v>
      </c>
      <c r="G135" s="40">
        <f t="shared" si="186"/>
        <v>-0.10610465116279066</v>
      </c>
      <c r="H135" s="40">
        <f t="shared" si="186"/>
        <v>0.27886178861788613</v>
      </c>
      <c r="I135" s="40">
        <f t="shared" si="186"/>
        <v>0.23204068658614108</v>
      </c>
      <c r="J135" s="40">
        <f>+IFERROR(J134/I134-1,"nm")</f>
        <v>0.13317481645566853</v>
      </c>
      <c r="K135" s="40">
        <f>+IFERROR(K134/J134-1,"nm")</f>
        <v>0.13327621648999277</v>
      </c>
      <c r="L135" s="40">
        <f t="shared" ref="L135:N135" si="187">+IFERROR(L134/K134-1,"nm")</f>
        <v>0.13337129699754313</v>
      </c>
      <c r="M135" s="40">
        <f t="shared" si="187"/>
        <v>0.13346043637264349</v>
      </c>
      <c r="N135" s="40">
        <f t="shared" si="187"/>
        <v>0.13354399226619718</v>
      </c>
      <c r="P135" s="87"/>
      <c r="R135" s="71"/>
      <c r="S135" s="72"/>
      <c r="T135" s="72"/>
      <c r="U135" s="72"/>
    </row>
    <row r="136" spans="1:21" x14ac:dyDescent="0.35">
      <c r="A136" s="39" t="s">
        <v>130</v>
      </c>
      <c r="B136" s="40" t="str">
        <f t="shared" ref="B136:I136" si="188">+IFERROR(B134/B$118,"nm")</f>
        <v>nm</v>
      </c>
      <c r="C136" s="40" t="str">
        <f t="shared" si="188"/>
        <v>nm</v>
      </c>
      <c r="D136" s="40" t="str">
        <f t="shared" si="188"/>
        <v>nm</v>
      </c>
      <c r="E136" s="40">
        <f t="shared" si="188"/>
        <v>0.2408052651955091</v>
      </c>
      <c r="F136" s="40">
        <f t="shared" si="188"/>
        <v>0.26189569851541683</v>
      </c>
      <c r="G136" s="40">
        <f t="shared" si="188"/>
        <v>0.24463007159904535</v>
      </c>
      <c r="H136" s="40">
        <f t="shared" si="188"/>
        <v>0.2944038929440389</v>
      </c>
      <c r="I136" s="40">
        <f t="shared" si="188"/>
        <v>0.32544080604534004</v>
      </c>
      <c r="J136" s="42">
        <f>+IFERROR(J134/J118,"nm")</f>
        <v>0.32626279153729776</v>
      </c>
      <c r="K136" s="42">
        <f>+IFERROR(K134/K118,"nm")</f>
        <v>0.32707200256433711</v>
      </c>
      <c r="L136" s="42">
        <f>+IFERROR(L134/L118,"nm")</f>
        <v>0.32786871709503002</v>
      </c>
      <c r="M136" s="42">
        <f>+IFERROR(M134/M118,"nm")</f>
        <v>0.32865321969132688</v>
      </c>
      <c r="N136" s="42">
        <f>+IFERROR(N134/N118,"nm")</f>
        <v>0.32942579968306401</v>
      </c>
      <c r="P136" s="87"/>
      <c r="R136" s="71"/>
      <c r="S136" s="73"/>
      <c r="T136" s="73"/>
      <c r="U136" s="73"/>
    </row>
    <row r="137" spans="1:21" x14ac:dyDescent="0.35">
      <c r="A137" s="9" t="s">
        <v>131</v>
      </c>
      <c r="B137" s="9">
        <f>Historicals!B194</f>
        <v>0</v>
      </c>
      <c r="C137" s="9">
        <f>Historicals!C194</f>
        <v>42</v>
      </c>
      <c r="D137" s="9">
        <f>Historicals!D194</f>
        <v>54</v>
      </c>
      <c r="E137" s="9">
        <f>Historicals!E194</f>
        <v>55</v>
      </c>
      <c r="F137" s="9">
        <f>Historicals!F194</f>
        <v>53</v>
      </c>
      <c r="G137" s="9">
        <f>Historicals!G194</f>
        <v>46</v>
      </c>
      <c r="H137" s="9">
        <f>Historicals!H194</f>
        <v>43</v>
      </c>
      <c r="I137" s="9">
        <f>Historicals!I194</f>
        <v>42</v>
      </c>
      <c r="J137" s="9">
        <f>I137+I137*J138</f>
        <v>44.568440216114638</v>
      </c>
      <c r="K137" s="9">
        <f t="shared" ref="K137:M137" si="189">J137+J137*K138</f>
        <v>47.293949126128204</v>
      </c>
      <c r="L137" s="9">
        <f t="shared" si="189"/>
        <v>50.186132005043142</v>
      </c>
      <c r="M137" s="9">
        <f t="shared" si="189"/>
        <v>53.255181522495299</v>
      </c>
      <c r="N137" s="9">
        <f>M137+M137*N138</f>
        <v>56.511913663896777</v>
      </c>
      <c r="O137" s="1" t="s">
        <v>235</v>
      </c>
      <c r="P137" s="87"/>
      <c r="R137" s="55"/>
      <c r="S137" s="41"/>
      <c r="T137" s="41"/>
      <c r="U137" s="41"/>
    </row>
    <row r="138" spans="1:21" x14ac:dyDescent="0.35">
      <c r="A138" s="39" t="s">
        <v>128</v>
      </c>
      <c r="B138" s="40" t="str">
        <f t="shared" ref="B138:I138" si="190">+IFERROR(B137/A137-1,"nm")</f>
        <v>nm</v>
      </c>
      <c r="C138" s="40" t="str">
        <f t="shared" si="190"/>
        <v>nm</v>
      </c>
      <c r="D138" s="40">
        <f t="shared" si="190"/>
        <v>0.28571428571428581</v>
      </c>
      <c r="E138" s="40">
        <f t="shared" si="190"/>
        <v>1.8518518518518601E-2</v>
      </c>
      <c r="F138" s="40">
        <f t="shared" si="190"/>
        <v>-3.6363636363636376E-2</v>
      </c>
      <c r="G138" s="40">
        <f t="shared" si="190"/>
        <v>-0.13207547169811318</v>
      </c>
      <c r="H138" s="40">
        <f t="shared" si="190"/>
        <v>-6.5217391304347783E-2</v>
      </c>
      <c r="I138" s="40">
        <f t="shared" si="190"/>
        <v>-2.3255813953488413E-2</v>
      </c>
      <c r="J138" s="40">
        <f>AVERAGE(D138,E138,F138,I138)</f>
        <v>6.1153338478919905E-2</v>
      </c>
      <c r="K138" s="40">
        <f>J138</f>
        <v>6.1153338478919905E-2</v>
      </c>
      <c r="L138" s="40">
        <f t="shared" ref="L138:N138" si="191">K138</f>
        <v>6.1153338478919905E-2</v>
      </c>
      <c r="M138" s="40">
        <f t="shared" si="191"/>
        <v>6.1153338478919905E-2</v>
      </c>
      <c r="N138" s="40">
        <f t="shared" si="191"/>
        <v>6.1153338478919905E-2</v>
      </c>
      <c r="P138" s="87"/>
      <c r="R138" s="71"/>
      <c r="S138" s="72"/>
      <c r="T138" s="72"/>
      <c r="U138" s="72"/>
    </row>
    <row r="139" spans="1:21" x14ac:dyDescent="0.35">
      <c r="A139" s="39" t="s">
        <v>132</v>
      </c>
      <c r="B139" s="40" t="str">
        <f t="shared" ref="B139:I139" si="192">+IFERROR(B137/B$118,"nm")</f>
        <v>nm</v>
      </c>
      <c r="C139" s="40" t="str">
        <f t="shared" si="192"/>
        <v>nm</v>
      </c>
      <c r="D139" s="40" t="str">
        <f t="shared" si="192"/>
        <v>nm</v>
      </c>
      <c r="E139" s="40">
        <f t="shared" si="192"/>
        <v>1.064653503677894E-2</v>
      </c>
      <c r="F139" s="40">
        <f t="shared" si="192"/>
        <v>1.0087552341073468E-2</v>
      </c>
      <c r="G139" s="40">
        <f t="shared" si="192"/>
        <v>9.148766905330152E-3</v>
      </c>
      <c r="H139" s="40">
        <f t="shared" si="192"/>
        <v>8.0479131574022079E-3</v>
      </c>
      <c r="I139" s="40">
        <f t="shared" si="192"/>
        <v>7.0528967254408059E-3</v>
      </c>
      <c r="J139" s="40">
        <f>+IFERROR(J137/J118,"nm")</f>
        <v>6.6213157099614612E-3</v>
      </c>
      <c r="K139" s="40">
        <f>+IFERROR(K137/K118,"nm")</f>
        <v>6.2153056154018275E-3</v>
      </c>
      <c r="L139" s="40">
        <f>+IFERROR(L137/L118,"nm")</f>
        <v>5.8334440212519439E-3</v>
      </c>
      <c r="M139" s="40">
        <f>+IFERROR(M137/M118,"nm")</f>
        <v>5.47437726900996E-3</v>
      </c>
      <c r="N139" s="40">
        <f>+IFERROR(N137/N118,"nm")</f>
        <v>5.1368183284224225E-3</v>
      </c>
      <c r="P139" s="87"/>
      <c r="R139" s="71"/>
      <c r="S139" s="72"/>
      <c r="T139" s="72"/>
      <c r="U139" s="72"/>
    </row>
    <row r="140" spans="1:21" x14ac:dyDescent="0.35">
      <c r="A140" s="39" t="s">
        <v>139</v>
      </c>
      <c r="B140" s="40" t="str">
        <f t="shared" ref="B140:I140" si="193">+IFERROR(B137/B147,"nm")</f>
        <v>nm</v>
      </c>
      <c r="C140" s="40" t="str">
        <f t="shared" si="193"/>
        <v>nm</v>
      </c>
      <c r="D140" s="40">
        <f t="shared" si="193"/>
        <v>0.1588235294117647</v>
      </c>
      <c r="E140" s="40">
        <f t="shared" si="193"/>
        <v>0.16224188790560473</v>
      </c>
      <c r="F140" s="40">
        <f t="shared" si="193"/>
        <v>0.16257668711656442</v>
      </c>
      <c r="G140" s="40">
        <f t="shared" si="193"/>
        <v>0.1554054054054054</v>
      </c>
      <c r="H140" s="40">
        <f t="shared" si="193"/>
        <v>0.14144736842105263</v>
      </c>
      <c r="I140" s="40">
        <f t="shared" si="193"/>
        <v>0.15328467153284672</v>
      </c>
      <c r="J140" s="42">
        <f>+IFERROR(J137/J147,"nm")</f>
        <v>0.17061926440755579</v>
      </c>
      <c r="K140" s="42">
        <f t="shared" ref="K140:N140" si="194">+IFERROR(K137/K147,"nm")</f>
        <v>0.18991418447693498</v>
      </c>
      <c r="L140" s="42">
        <f t="shared" si="194"/>
        <v>0.21139112040352967</v>
      </c>
      <c r="M140" s="42">
        <f t="shared" si="194"/>
        <v>0.23529683108470867</v>
      </c>
      <c r="N140" s="42">
        <f t="shared" si="194"/>
        <v>0.2619059807849029</v>
      </c>
      <c r="P140" s="87"/>
      <c r="R140" s="71"/>
      <c r="S140" s="73"/>
      <c r="T140" s="73"/>
      <c r="U140" s="73"/>
    </row>
    <row r="141" spans="1:21" x14ac:dyDescent="0.35">
      <c r="A141" s="9" t="s">
        <v>133</v>
      </c>
      <c r="B141" s="9">
        <f>+Historicals!B155</f>
        <v>0</v>
      </c>
      <c r="C141" s="9">
        <f>+Historicals!C155</f>
        <v>0</v>
      </c>
      <c r="D141" s="9">
        <f>+Historicals!D155</f>
        <v>0</v>
      </c>
      <c r="E141" s="9">
        <f>+Historicals!E155</f>
        <v>1189</v>
      </c>
      <c r="F141" s="9">
        <f>+Historicals!F155</f>
        <v>1323</v>
      </c>
      <c r="G141" s="9">
        <f>+Historicals!G155</f>
        <v>1184</v>
      </c>
      <c r="H141" s="9">
        <f>+Historicals!H155</f>
        <v>1530</v>
      </c>
      <c r="I141" s="9">
        <f>+Historicals!I155</f>
        <v>1896</v>
      </c>
      <c r="J141" s="9">
        <f>I141+I141*J142</f>
        <v>2151.5243540749711</v>
      </c>
      <c r="K141" s="9">
        <f t="shared" ref="K141:N141" si="195">J141+J141*K142</f>
        <v>2441.4857838490093</v>
      </c>
      <c r="L141" s="9">
        <f t="shared" si="195"/>
        <v>2770.5253818981878</v>
      </c>
      <c r="M141" s="9">
        <f t="shared" si="195"/>
        <v>3143.9097219076007</v>
      </c>
      <c r="N141" s="9">
        <f t="shared" si="195"/>
        <v>3567.6151549036244</v>
      </c>
      <c r="O141" s="1" t="s">
        <v>236</v>
      </c>
      <c r="P141" s="87"/>
    </row>
    <row r="142" spans="1:21" x14ac:dyDescent="0.35">
      <c r="A142" s="39" t="s">
        <v>128</v>
      </c>
      <c r="B142" s="40" t="str">
        <f t="shared" ref="B142:I142" si="196">+IFERROR(B141/A141-1,"nm")</f>
        <v>nm</v>
      </c>
      <c r="C142" s="40" t="str">
        <f t="shared" si="196"/>
        <v>nm</v>
      </c>
      <c r="D142" s="40" t="str">
        <f t="shared" si="196"/>
        <v>nm</v>
      </c>
      <c r="E142" s="40" t="str">
        <f t="shared" si="196"/>
        <v>nm</v>
      </c>
      <c r="F142" s="40">
        <f t="shared" si="196"/>
        <v>0.11269974768713209</v>
      </c>
      <c r="G142" s="40">
        <f t="shared" si="196"/>
        <v>-0.1050642479213908</v>
      </c>
      <c r="H142" s="40">
        <f t="shared" si="196"/>
        <v>0.29222972972972983</v>
      </c>
      <c r="I142" s="40">
        <f t="shared" si="196"/>
        <v>0.23921568627450984</v>
      </c>
      <c r="J142" s="40">
        <f>AVERAGE(F142,G142,H142,I142)</f>
        <v>0.13477022894249524</v>
      </c>
      <c r="K142" s="40">
        <f>J142</f>
        <v>0.13477022894249524</v>
      </c>
      <c r="L142" s="40">
        <f t="shared" ref="L142:N142" si="197">K142</f>
        <v>0.13477022894249524</v>
      </c>
      <c r="M142" s="40">
        <f t="shared" si="197"/>
        <v>0.13477022894249524</v>
      </c>
      <c r="N142" s="40">
        <f t="shared" si="197"/>
        <v>0.13477022894249524</v>
      </c>
      <c r="P142" s="87"/>
    </row>
    <row r="143" spans="1:21" x14ac:dyDescent="0.35">
      <c r="A143" s="39" t="s">
        <v>130</v>
      </c>
      <c r="B143" s="40" t="str">
        <f t="shared" ref="B143:I143" si="198">+IFERROR(B141/B$118,"nm")</f>
        <v>nm</v>
      </c>
      <c r="C143" s="40" t="str">
        <f t="shared" si="198"/>
        <v>nm</v>
      </c>
      <c r="D143" s="40" t="str">
        <f t="shared" si="198"/>
        <v>nm</v>
      </c>
      <c r="E143" s="40">
        <f t="shared" si="198"/>
        <v>0.23015873015873015</v>
      </c>
      <c r="F143" s="40">
        <f t="shared" si="198"/>
        <v>0.25180814617434338</v>
      </c>
      <c r="G143" s="40">
        <f t="shared" si="198"/>
        <v>0.2354813046937152</v>
      </c>
      <c r="H143" s="40">
        <f t="shared" si="198"/>
        <v>0.28635597978663674</v>
      </c>
      <c r="I143" s="40">
        <f t="shared" si="198"/>
        <v>0.31838790931989924</v>
      </c>
      <c r="J143" s="42">
        <f>+IFERROR(J141/J118,"nm")</f>
        <v>0.31964147582733632</v>
      </c>
      <c r="K143" s="42">
        <f>+IFERROR(K141/K118,"nm")</f>
        <v>0.32085669694893526</v>
      </c>
      <c r="L143" s="42">
        <f>+IFERROR(L141/L118,"nm")</f>
        <v>0.32203527307377805</v>
      </c>
      <c r="M143" s="42">
        <f>+IFERROR(M141/M118,"nm")</f>
        <v>0.32317884242231693</v>
      </c>
      <c r="N143" s="42">
        <f>+IFERROR(N141/N118,"nm")</f>
        <v>0.32428898135464157</v>
      </c>
      <c r="P143" s="87"/>
    </row>
    <row r="144" spans="1:21" x14ac:dyDescent="0.35">
      <c r="A144" s="9" t="s">
        <v>134</v>
      </c>
      <c r="B144" s="9">
        <f>+Historicals!B182</f>
        <v>0</v>
      </c>
      <c r="C144" s="9">
        <f>+Historicals!C182</f>
        <v>62</v>
      </c>
      <c r="D144" s="9">
        <f>+Historicals!D182</f>
        <v>59</v>
      </c>
      <c r="E144" s="9">
        <f>+Historicals!E182</f>
        <v>49</v>
      </c>
      <c r="F144" s="9">
        <f>+Historicals!F182</f>
        <v>47</v>
      </c>
      <c r="G144" s="9">
        <f>+Historicals!G182</f>
        <v>41</v>
      </c>
      <c r="H144" s="9">
        <f>+Historicals!H182</f>
        <v>54</v>
      </c>
      <c r="I144" s="9">
        <f>+Historicals!I182</f>
        <v>56</v>
      </c>
      <c r="J144" s="9">
        <f>I144+I144*J145</f>
        <v>52.89678923631903</v>
      </c>
      <c r="K144" s="9">
        <f t="shared" ref="K144:N144" si="199">J144+J144*K145</f>
        <v>49.965541276992091</v>
      </c>
      <c r="L144" s="9">
        <f t="shared" si="199"/>
        <v>47.196726892993745</v>
      </c>
      <c r="M144" s="9">
        <f t="shared" si="199"/>
        <v>44.581344912550009</v>
      </c>
      <c r="N144" s="9">
        <f t="shared" si="199"/>
        <v>42.110892959121458</v>
      </c>
      <c r="O144" s="1" t="s">
        <v>235</v>
      </c>
      <c r="P144" s="87"/>
      <c r="R144" s="55"/>
      <c r="S144" s="41"/>
      <c r="T144" s="41"/>
      <c r="U144" s="41"/>
    </row>
    <row r="145" spans="1:21" x14ac:dyDescent="0.35">
      <c r="A145" s="39" t="s">
        <v>128</v>
      </c>
      <c r="B145" s="40" t="str">
        <f t="shared" ref="B145:I145" si="200">+IFERROR(B144/A144-1,"nm")</f>
        <v>nm</v>
      </c>
      <c r="C145" s="40" t="str">
        <f t="shared" si="200"/>
        <v>nm</v>
      </c>
      <c r="D145" s="40">
        <f t="shared" si="200"/>
        <v>-4.8387096774193505E-2</v>
      </c>
      <c r="E145" s="40">
        <f t="shared" si="200"/>
        <v>-0.16949152542372881</v>
      </c>
      <c r="F145" s="40">
        <f t="shared" si="200"/>
        <v>-4.081632653061229E-2</v>
      </c>
      <c r="G145" s="40">
        <f t="shared" si="200"/>
        <v>-0.12765957446808507</v>
      </c>
      <c r="H145" s="40">
        <f t="shared" si="200"/>
        <v>0.31707317073170738</v>
      </c>
      <c r="I145" s="40">
        <f t="shared" si="200"/>
        <v>3.7037037037036979E-2</v>
      </c>
      <c r="J145" s="40">
        <f>AVERAGE(D145,E145,F145,I145)</f>
        <v>-5.5414477922874406E-2</v>
      </c>
      <c r="K145" s="40">
        <f>J145</f>
        <v>-5.5414477922874406E-2</v>
      </c>
      <c r="L145" s="40">
        <f t="shared" ref="L145:N145" si="201">K145</f>
        <v>-5.5414477922874406E-2</v>
      </c>
      <c r="M145" s="40">
        <f t="shared" si="201"/>
        <v>-5.5414477922874406E-2</v>
      </c>
      <c r="N145" s="40">
        <f t="shared" si="201"/>
        <v>-5.5414477922874406E-2</v>
      </c>
      <c r="P145" s="87"/>
      <c r="R145" s="71"/>
      <c r="S145" s="72"/>
      <c r="T145" s="72"/>
      <c r="U145" s="72"/>
    </row>
    <row r="146" spans="1:21" x14ac:dyDescent="0.35">
      <c r="A146" s="39" t="s">
        <v>132</v>
      </c>
      <c r="B146" s="40" t="str">
        <f t="shared" ref="B146:I146" si="202">+IFERROR(B144/B$118,"nm")</f>
        <v>nm</v>
      </c>
      <c r="C146" s="40" t="str">
        <f t="shared" si="202"/>
        <v>nm</v>
      </c>
      <c r="D146" s="40" t="str">
        <f t="shared" si="202"/>
        <v>nm</v>
      </c>
      <c r="E146" s="40">
        <f t="shared" si="202"/>
        <v>9.485094850948509E-3</v>
      </c>
      <c r="F146" s="40">
        <f t="shared" si="202"/>
        <v>8.9455652835934533E-3</v>
      </c>
      <c r="G146" s="40">
        <f t="shared" si="202"/>
        <v>8.1543357199681775E-3</v>
      </c>
      <c r="H146" s="40">
        <f t="shared" si="202"/>
        <v>1.0106681639528355E-2</v>
      </c>
      <c r="I146" s="40">
        <f t="shared" si="202"/>
        <v>9.4038623005877411E-3</v>
      </c>
      <c r="J146" s="42">
        <f>+IFERROR(J144/J118,"nm")</f>
        <v>7.8586178892193024E-3</v>
      </c>
      <c r="K146" s="42">
        <f>+IFERROR(K144/K118,"nm")</f>
        <v>6.5664025739798591E-3</v>
      </c>
      <c r="L146" s="42">
        <f>+IFERROR(L144/L118,"nm")</f>
        <v>5.4859670055649769E-3</v>
      </c>
      <c r="M146" s="42">
        <f>+IFERROR(M144/M118,"nm")</f>
        <v>4.582748461913819E-3</v>
      </c>
      <c r="N146" s="42">
        <f>+IFERROR(N144/N118,"nm")</f>
        <v>3.8277947560789393E-3</v>
      </c>
      <c r="P146" s="87"/>
      <c r="R146" s="71"/>
      <c r="S146" s="73"/>
      <c r="T146" s="73"/>
      <c r="U146" s="73"/>
    </row>
    <row r="147" spans="1:21" x14ac:dyDescent="0.35">
      <c r="A147" s="9" t="s">
        <v>140</v>
      </c>
      <c r="B147" s="9">
        <f>Historicals!B170</f>
        <v>0</v>
      </c>
      <c r="C147" s="9">
        <f>Historicals!C170</f>
        <v>0</v>
      </c>
      <c r="D147" s="9">
        <f>Historicals!D170</f>
        <v>340</v>
      </c>
      <c r="E147" s="9">
        <f>Historicals!E170</f>
        <v>339</v>
      </c>
      <c r="F147" s="9">
        <f>Historicals!F170</f>
        <v>326</v>
      </c>
      <c r="G147" s="9">
        <f>Historicals!G170</f>
        <v>296</v>
      </c>
      <c r="H147" s="9">
        <f>Historicals!H170</f>
        <v>304</v>
      </c>
      <c r="I147" s="9">
        <f>Historicals!I170</f>
        <v>274</v>
      </c>
      <c r="J147" s="9">
        <f>I147+I147*J148</f>
        <v>261.21575644385996</v>
      </c>
      <c r="K147" s="9">
        <f t="shared" ref="K147:N147" si="203">J147+J147*K148</f>
        <v>249.02799786327725</v>
      </c>
      <c r="L147" s="9">
        <f t="shared" si="203"/>
        <v>237.40889356772229</v>
      </c>
      <c r="M147" s="9">
        <f t="shared" si="203"/>
        <v>226.33191138610371</v>
      </c>
      <c r="N147" s="9">
        <f t="shared" si="203"/>
        <v>215.77175708067796</v>
      </c>
      <c r="O147" s="1" t="s">
        <v>235</v>
      </c>
      <c r="P147" s="87"/>
      <c r="R147" s="55"/>
      <c r="S147" s="41"/>
      <c r="T147" s="41"/>
      <c r="U147" s="41"/>
    </row>
    <row r="148" spans="1:21" x14ac:dyDescent="0.35">
      <c r="A148" s="39" t="s">
        <v>128</v>
      </c>
      <c r="B148" s="40" t="str">
        <f t="shared" ref="B148:H148" si="204">+IFERROR(B147/A147-1,"nm")</f>
        <v>nm</v>
      </c>
      <c r="C148" s="40" t="str">
        <f t="shared" si="204"/>
        <v>nm</v>
      </c>
      <c r="D148" s="40" t="str">
        <f t="shared" si="204"/>
        <v>nm</v>
      </c>
      <c r="E148" s="40">
        <f t="shared" si="204"/>
        <v>-2.9411764705882248E-3</v>
      </c>
      <c r="F148" s="40">
        <f t="shared" si="204"/>
        <v>-3.8348082595870192E-2</v>
      </c>
      <c r="G148" s="40">
        <f t="shared" si="204"/>
        <v>-9.2024539877300637E-2</v>
      </c>
      <c r="H148" s="40">
        <f t="shared" si="204"/>
        <v>2.7027027027026973E-2</v>
      </c>
      <c r="I148" s="40">
        <f>+IFERROR(I147/H147-1,"nm")</f>
        <v>-9.8684210526315819E-2</v>
      </c>
      <c r="J148" s="40">
        <f>AVERAGE(D148,E148,F148,I148)</f>
        <v>-4.665782319759141E-2</v>
      </c>
      <c r="K148" s="40">
        <f>J148</f>
        <v>-4.665782319759141E-2</v>
      </c>
      <c r="L148" s="40">
        <f t="shared" ref="L148:N148" si="205">K148</f>
        <v>-4.665782319759141E-2</v>
      </c>
      <c r="M148" s="40">
        <f t="shared" si="205"/>
        <v>-4.665782319759141E-2</v>
      </c>
      <c r="N148" s="40">
        <f t="shared" si="205"/>
        <v>-4.665782319759141E-2</v>
      </c>
      <c r="P148" s="87"/>
      <c r="R148" s="71"/>
      <c r="S148" s="72"/>
      <c r="T148" s="72"/>
      <c r="U148" s="72"/>
    </row>
    <row r="149" spans="1:21" x14ac:dyDescent="0.35">
      <c r="A149" s="39" t="s">
        <v>132</v>
      </c>
      <c r="B149" s="40" t="str">
        <f t="shared" ref="B149:H149" si="206">+IFERROR(B147/B$118,"nm")</f>
        <v>nm</v>
      </c>
      <c r="C149" s="40" t="str">
        <f t="shared" si="206"/>
        <v>nm</v>
      </c>
      <c r="D149" s="40" t="str">
        <f t="shared" si="206"/>
        <v>nm</v>
      </c>
      <c r="E149" s="40">
        <f t="shared" si="206"/>
        <v>6.5621370499419282E-2</v>
      </c>
      <c r="F149" s="40">
        <f t="shared" si="206"/>
        <v>6.2047963456414161E-2</v>
      </c>
      <c r="G149" s="40">
        <f t="shared" si="206"/>
        <v>5.88703261734288E-2</v>
      </c>
      <c r="H149" s="40">
        <f t="shared" si="206"/>
        <v>5.6896874415122589E-2</v>
      </c>
      <c r="I149" s="40">
        <f>+IFERROR(I147/I$118,"nm")</f>
        <v>4.6011754827875735E-2</v>
      </c>
      <c r="J149" s="42">
        <f>+IFERROR(J147/J118,"nm")</f>
        <v>3.8807550442517554E-2</v>
      </c>
      <c r="K149" s="42">
        <f>+IFERROR(K147/K118,"nm")</f>
        <v>3.2726916278108094E-2</v>
      </c>
      <c r="L149" s="42">
        <f>+IFERROR(L147/L118,"nm")</f>
        <v>2.7595501694282806E-2</v>
      </c>
      <c r="M149" s="42">
        <f>+IFERROR(M147/M118,"nm")</f>
        <v>2.3265835089122562E-2</v>
      </c>
      <c r="N149" s="42">
        <f>+IFERROR(N147/N118,"nm")</f>
        <v>1.9613215066826471E-2</v>
      </c>
      <c r="P149" s="87"/>
      <c r="R149" s="71"/>
      <c r="S149" s="73"/>
      <c r="T149" s="73"/>
      <c r="U149" s="73"/>
    </row>
    <row r="150" spans="1:21" x14ac:dyDescent="0.35">
      <c r="A150" s="36" t="s">
        <v>106</v>
      </c>
      <c r="B150" s="36"/>
      <c r="C150" s="36"/>
      <c r="D150" s="36"/>
      <c r="E150" s="36"/>
      <c r="F150" s="36"/>
      <c r="G150" s="36"/>
      <c r="H150" s="36"/>
      <c r="I150" s="36"/>
      <c r="J150" s="32"/>
      <c r="K150" s="32"/>
      <c r="L150" s="32"/>
      <c r="M150" s="32"/>
      <c r="N150" s="32"/>
      <c r="P150" s="87" t="s">
        <v>241</v>
      </c>
    </row>
    <row r="151" spans="1:21" x14ac:dyDescent="0.35">
      <c r="A151" s="9" t="s">
        <v>135</v>
      </c>
      <c r="B151" s="9">
        <f>Historicals!B141</f>
        <v>115</v>
      </c>
      <c r="C151" s="9">
        <f>Historicals!C141</f>
        <v>73</v>
      </c>
      <c r="D151" s="9">
        <f>Historicals!D141</f>
        <v>73</v>
      </c>
      <c r="E151" s="9">
        <f>Historicals!E141</f>
        <v>88</v>
      </c>
      <c r="F151" s="9">
        <f>Historicals!F141</f>
        <v>42</v>
      </c>
      <c r="G151" s="9">
        <f>Historicals!G141</f>
        <v>30</v>
      </c>
      <c r="H151" s="9">
        <f>Historicals!H141</f>
        <v>25</v>
      </c>
      <c r="I151" s="9">
        <f>Historicals!I141</f>
        <v>102</v>
      </c>
      <c r="J151" s="9">
        <f>I151+I151*J152</f>
        <v>89.512774610737679</v>
      </c>
      <c r="K151" s="9">
        <f t="shared" ref="K151:M151" si="207">J151+J151*K152</f>
        <v>78.554282534438471</v>
      </c>
      <c r="L151" s="9">
        <f t="shared" si="207"/>
        <v>68.937370462876459</v>
      </c>
      <c r="M151" s="9">
        <f t="shared" si="207"/>
        <v>60.497797102944958</v>
      </c>
      <c r="N151" s="9">
        <f>M151+M151*N152</f>
        <v>53.091428201196578</v>
      </c>
      <c r="O151" s="1" t="s">
        <v>242</v>
      </c>
      <c r="P151" s="87"/>
    </row>
    <row r="152" spans="1:21" x14ac:dyDescent="0.35">
      <c r="A152" s="37" t="s">
        <v>128</v>
      </c>
      <c r="B152" s="40" t="str">
        <f t="shared" ref="B152:I152" si="208">+IFERROR(B151/A151-1,"nm")</f>
        <v>nm</v>
      </c>
      <c r="C152" s="40">
        <f t="shared" si="208"/>
        <v>-0.36521739130434783</v>
      </c>
      <c r="D152" s="40">
        <f t="shared" si="208"/>
        <v>0</v>
      </c>
      <c r="E152" s="40">
        <f t="shared" si="208"/>
        <v>0.20547945205479445</v>
      </c>
      <c r="F152" s="40">
        <f t="shared" si="208"/>
        <v>-0.52272727272727271</v>
      </c>
      <c r="G152" s="40">
        <f t="shared" si="208"/>
        <v>-0.2857142857142857</v>
      </c>
      <c r="H152" s="40">
        <f t="shared" si="208"/>
        <v>-0.16666666666666663</v>
      </c>
      <c r="I152" s="40">
        <f t="shared" si="208"/>
        <v>3.08</v>
      </c>
      <c r="J152" s="40">
        <f>AVERAGE(C152,D152,E152,G152,H152)</f>
        <v>-0.12242377832610114</v>
      </c>
      <c r="K152" s="40">
        <f>J152</f>
        <v>-0.12242377832610114</v>
      </c>
      <c r="L152" s="40">
        <f t="shared" ref="L152:N152" si="209">K152</f>
        <v>-0.12242377832610114</v>
      </c>
      <c r="M152" s="40">
        <f t="shared" si="209"/>
        <v>-0.12242377832610114</v>
      </c>
      <c r="N152" s="40">
        <f t="shared" si="209"/>
        <v>-0.12242377832610114</v>
      </c>
      <c r="P152" s="87"/>
    </row>
    <row r="153" spans="1:21" x14ac:dyDescent="0.35">
      <c r="A153" s="9" t="s">
        <v>129</v>
      </c>
      <c r="B153" s="9">
        <f t="shared" ref="B153:I153" si="210">+B156+B160</f>
        <v>-2057</v>
      </c>
      <c r="C153" s="9">
        <f t="shared" si="210"/>
        <v>-2366</v>
      </c>
      <c r="D153" s="9">
        <f t="shared" si="210"/>
        <v>-2444</v>
      </c>
      <c r="E153" s="9">
        <f t="shared" si="210"/>
        <v>-2441</v>
      </c>
      <c r="F153" s="9">
        <f t="shared" si="210"/>
        <v>-3067</v>
      </c>
      <c r="G153" s="9">
        <f t="shared" si="210"/>
        <v>-3254</v>
      </c>
      <c r="H153" s="9">
        <f t="shared" si="210"/>
        <v>-3434</v>
      </c>
      <c r="I153" s="9">
        <f t="shared" si="210"/>
        <v>-4042</v>
      </c>
      <c r="J153" s="41">
        <f>+J160+J156</f>
        <v>-4524.3536219672442</v>
      </c>
      <c r="K153" s="41">
        <f t="shared" ref="K153:N153" si="211">+K160+K156</f>
        <v>-5060.5510822042779</v>
      </c>
      <c r="L153" s="41">
        <f t="shared" si="211"/>
        <v>-5656.6524164047878</v>
      </c>
      <c r="M153" s="41">
        <f t="shared" si="211"/>
        <v>-6319.3990001711009</v>
      </c>
      <c r="N153" s="41">
        <f t="shared" si="211"/>
        <v>-7056.2901631965824</v>
      </c>
      <c r="O153" s="1" t="s">
        <v>231</v>
      </c>
      <c r="P153" s="87"/>
      <c r="R153" s="55"/>
      <c r="S153" s="41"/>
      <c r="T153" s="41"/>
      <c r="U153" s="41"/>
    </row>
    <row r="154" spans="1:21" x14ac:dyDescent="0.35">
      <c r="A154" s="39" t="s">
        <v>128</v>
      </c>
      <c r="B154" s="40" t="str">
        <f t="shared" ref="B154:I154" si="212">+IFERROR(B153/A153-1,"nm")</f>
        <v>nm</v>
      </c>
      <c r="C154" s="40">
        <f t="shared" si="212"/>
        <v>0.15021876519202726</v>
      </c>
      <c r="D154" s="40">
        <f t="shared" si="212"/>
        <v>3.2967032967033072E-2</v>
      </c>
      <c r="E154" s="40">
        <f t="shared" si="212"/>
        <v>-1.2274959083469206E-3</v>
      </c>
      <c r="F154" s="40">
        <f t="shared" si="212"/>
        <v>0.25645227365833678</v>
      </c>
      <c r="G154" s="40">
        <f t="shared" si="212"/>
        <v>6.0971633518095869E-2</v>
      </c>
      <c r="H154" s="40">
        <f t="shared" si="212"/>
        <v>5.5316533497234088E-2</v>
      </c>
      <c r="I154" s="40">
        <f t="shared" si="212"/>
        <v>0.1770529994175889</v>
      </c>
      <c r="J154" s="40">
        <f>+IFERROR(J153/I153-1,"nm")</f>
        <v>0.11933538396022869</v>
      </c>
      <c r="K154" s="40">
        <f>+IFERROR(K153/J153-1,"nm")</f>
        <v>0.11851360548689582</v>
      </c>
      <c r="L154" s="40">
        <f t="shared" ref="L154:N154" si="213">+IFERROR(L153/K153-1,"nm")</f>
        <v>0.11779375892414867</v>
      </c>
      <c r="M154" s="40">
        <f t="shared" si="213"/>
        <v>0.11716233117740971</v>
      </c>
      <c r="N154" s="40">
        <f t="shared" si="213"/>
        <v>0.1166077918177868</v>
      </c>
      <c r="P154" s="87"/>
      <c r="R154" s="71"/>
      <c r="S154" s="72"/>
      <c r="T154" s="72"/>
      <c r="U154" s="72"/>
    </row>
    <row r="155" spans="1:21" x14ac:dyDescent="0.35">
      <c r="A155" s="39" t="s">
        <v>130</v>
      </c>
      <c r="B155" s="40">
        <f t="shared" ref="B155:N155" si="214">+IFERROR(B153/B151,"nm")</f>
        <v>-17.88695652173913</v>
      </c>
      <c r="C155" s="40">
        <f t="shared" si="214"/>
        <v>-32.410958904109592</v>
      </c>
      <c r="D155" s="40">
        <f t="shared" si="214"/>
        <v>-33.479452054794521</v>
      </c>
      <c r="E155" s="40">
        <f t="shared" si="214"/>
        <v>-27.738636363636363</v>
      </c>
      <c r="F155" s="40">
        <f t="shared" si="214"/>
        <v>-73.023809523809518</v>
      </c>
      <c r="G155" s="40">
        <f t="shared" si="214"/>
        <v>-108.46666666666667</v>
      </c>
      <c r="H155" s="40">
        <f t="shared" si="214"/>
        <v>-137.36000000000001</v>
      </c>
      <c r="I155" s="40">
        <f t="shared" si="214"/>
        <v>-39.627450980392155</v>
      </c>
      <c r="J155" s="42">
        <f t="shared" si="214"/>
        <v>-50.544222784314371</v>
      </c>
      <c r="K155" s="42">
        <f t="shared" si="214"/>
        <v>-64.421071887273811</v>
      </c>
      <c r="L155" s="42">
        <f t="shared" si="214"/>
        <v>-82.054948983743998</v>
      </c>
      <c r="M155" s="42">
        <f t="shared" si="214"/>
        <v>-104.45667946252344</v>
      </c>
      <c r="N155" s="42">
        <f t="shared" si="214"/>
        <v>-132.90827544619617</v>
      </c>
      <c r="P155" s="87"/>
      <c r="R155" s="71"/>
      <c r="S155" s="73"/>
      <c r="T155" s="73"/>
      <c r="U155" s="73"/>
    </row>
    <row r="156" spans="1:21" x14ac:dyDescent="0.35">
      <c r="A156" s="9" t="s">
        <v>131</v>
      </c>
      <c r="B156" s="9">
        <f>Historicals!B196</f>
        <v>210</v>
      </c>
      <c r="C156" s="9">
        <f>Historicals!C196</f>
        <v>230</v>
      </c>
      <c r="D156" s="9">
        <f>Historicals!D196</f>
        <v>233</v>
      </c>
      <c r="E156" s="9">
        <f>Historicals!E196</f>
        <v>217</v>
      </c>
      <c r="F156" s="9">
        <f>Historicals!F196</f>
        <v>195</v>
      </c>
      <c r="G156" s="9">
        <f>Historicals!G196</f>
        <v>214</v>
      </c>
      <c r="H156" s="9">
        <f>Historicals!H196</f>
        <v>222</v>
      </c>
      <c r="I156" s="9">
        <f>Historicals!I196</f>
        <v>220</v>
      </c>
      <c r="J156" s="9">
        <f>I156+I156*J157</f>
        <v>216.88570411700269</v>
      </c>
      <c r="K156" s="9">
        <f t="shared" ref="K156:M156" si="215">J156+J156*K157</f>
        <v>213.81549386512745</v>
      </c>
      <c r="L156" s="9">
        <f t="shared" si="215"/>
        <v>210.7887451730129</v>
      </c>
      <c r="M156" s="9">
        <f t="shared" si="215"/>
        <v>207.80484280358343</v>
      </c>
      <c r="N156" s="9">
        <f>M156+M156*N157</f>
        <v>204.86318022899204</v>
      </c>
      <c r="O156" s="1" t="s">
        <v>232</v>
      </c>
      <c r="P156" s="87"/>
      <c r="R156" s="55"/>
      <c r="S156" s="55"/>
      <c r="T156" s="55"/>
      <c r="U156" s="55"/>
    </row>
    <row r="157" spans="1:21" x14ac:dyDescent="0.35">
      <c r="A157" s="39" t="s">
        <v>128</v>
      </c>
      <c r="B157" s="40" t="str">
        <f t="shared" ref="B157:I157" si="216">+IFERROR(B156/A156-1,"nm")</f>
        <v>nm</v>
      </c>
      <c r="C157" s="40">
        <f t="shared" si="216"/>
        <v>9.5238095238095344E-2</v>
      </c>
      <c r="D157" s="40">
        <f t="shared" si="216"/>
        <v>1.304347826086949E-2</v>
      </c>
      <c r="E157" s="40">
        <f t="shared" si="216"/>
        <v>-6.8669527896995763E-2</v>
      </c>
      <c r="F157" s="40">
        <f t="shared" si="216"/>
        <v>-0.10138248847926268</v>
      </c>
      <c r="G157" s="40">
        <f t="shared" si="216"/>
        <v>9.7435897435897534E-2</v>
      </c>
      <c r="H157" s="40">
        <f t="shared" si="216"/>
        <v>3.7383177570093462E-2</v>
      </c>
      <c r="I157" s="40">
        <f t="shared" si="216"/>
        <v>-9.009009009009028E-3</v>
      </c>
      <c r="J157" s="40">
        <f>AVERAGE(C157,D157,E157,F157,I157)</f>
        <v>-1.4155890377260527E-2</v>
      </c>
      <c r="K157" s="40">
        <f>J157</f>
        <v>-1.4155890377260527E-2</v>
      </c>
      <c r="L157" s="40">
        <f t="shared" ref="L157:N157" si="217">K157</f>
        <v>-1.4155890377260527E-2</v>
      </c>
      <c r="M157" s="40">
        <f t="shared" si="217"/>
        <v>-1.4155890377260527E-2</v>
      </c>
      <c r="N157" s="40">
        <f t="shared" si="217"/>
        <v>-1.4155890377260527E-2</v>
      </c>
      <c r="P157" s="87"/>
      <c r="R157" s="71"/>
      <c r="S157" s="72"/>
      <c r="T157" s="72"/>
      <c r="U157" s="72"/>
    </row>
    <row r="158" spans="1:21" x14ac:dyDescent="0.35">
      <c r="A158" s="39" t="s">
        <v>132</v>
      </c>
      <c r="B158" s="40">
        <f t="shared" ref="B158:H158" si="218">+IFERROR(B156/B$151,"nm")</f>
        <v>1.826086956521739</v>
      </c>
      <c r="C158" s="40">
        <f t="shared" si="218"/>
        <v>3.1506849315068495</v>
      </c>
      <c r="D158" s="40">
        <f t="shared" si="218"/>
        <v>3.1917808219178081</v>
      </c>
      <c r="E158" s="40">
        <f t="shared" si="218"/>
        <v>2.4659090909090908</v>
      </c>
      <c r="F158" s="40">
        <f t="shared" si="218"/>
        <v>4.6428571428571432</v>
      </c>
      <c r="G158" s="40">
        <f t="shared" si="218"/>
        <v>7.1333333333333337</v>
      </c>
      <c r="H158" s="40">
        <f t="shared" si="218"/>
        <v>8.8800000000000008</v>
      </c>
      <c r="I158" s="40">
        <f>+IFERROR(I156/I$151,"nm")</f>
        <v>2.1568627450980391</v>
      </c>
      <c r="J158" s="40">
        <f>+IFERROR(J156/J151,"nm")</f>
        <v>2.4229581203372255</v>
      </c>
      <c r="K158" s="40">
        <f>+IFERROR(K156/K151,"nm")</f>
        <v>2.721882079075574</v>
      </c>
      <c r="L158" s="40">
        <f>+IFERROR(L156/L151,"nm")</f>
        <v>3.057684732644756</v>
      </c>
      <c r="M158" s="40">
        <f>+IFERROR(M156/M151,"nm")</f>
        <v>3.4349158606548293</v>
      </c>
      <c r="N158" s="40">
        <f>+IFERROR(N156/N151,"nm")</f>
        <v>3.8586865558153285</v>
      </c>
      <c r="P158" s="87"/>
      <c r="R158" s="71"/>
      <c r="S158" s="72"/>
      <c r="T158" s="72"/>
      <c r="U158" s="72"/>
    </row>
    <row r="159" spans="1:21" x14ac:dyDescent="0.35">
      <c r="A159" s="39" t="s">
        <v>139</v>
      </c>
      <c r="B159" s="40">
        <f t="shared" ref="B159:I159" si="219">+IFERROR(B156/B166,"nm")</f>
        <v>0.43388429752066116</v>
      </c>
      <c r="C159" s="40">
        <f t="shared" si="219"/>
        <v>0.45009784735812131</v>
      </c>
      <c r="D159" s="40">
        <f t="shared" si="219"/>
        <v>0.43714821763602252</v>
      </c>
      <c r="E159" s="40">
        <f t="shared" si="219"/>
        <v>0.36348408710217756</v>
      </c>
      <c r="F159" s="40">
        <f t="shared" si="219"/>
        <v>0.2932330827067669</v>
      </c>
      <c r="G159" s="40">
        <f t="shared" si="219"/>
        <v>0.25783132530120484</v>
      </c>
      <c r="H159" s="40">
        <f t="shared" si="219"/>
        <v>0.2846153846153846</v>
      </c>
      <c r="I159" s="40">
        <f t="shared" si="219"/>
        <v>0.27883396704689478</v>
      </c>
      <c r="J159" s="42">
        <f>+IFERROR(J156/J166,"nm")</f>
        <v>0.25717496225223813</v>
      </c>
      <c r="K159" s="42">
        <f t="shared" ref="K159:N159" si="220">+IFERROR(K156/K166,"nm")</f>
        <v>0.23719836542840114</v>
      </c>
      <c r="L159" s="42">
        <f t="shared" si="220"/>
        <v>0.21877349205838439</v>
      </c>
      <c r="M159" s="42">
        <f t="shared" si="220"/>
        <v>0.20177980881519683</v>
      </c>
      <c r="N159" s="42">
        <f t="shared" si="220"/>
        <v>0.18610614504718737</v>
      </c>
      <c r="P159" s="87"/>
      <c r="R159" s="71"/>
      <c r="S159" s="73"/>
      <c r="T159" s="73"/>
      <c r="U159" s="73"/>
    </row>
    <row r="160" spans="1:21" x14ac:dyDescent="0.35">
      <c r="A160" s="9" t="s">
        <v>133</v>
      </c>
      <c r="B160" s="9">
        <f>Historicals!B160</f>
        <v>-2267</v>
      </c>
      <c r="C160" s="9">
        <f>Historicals!C160</f>
        <v>-2596</v>
      </c>
      <c r="D160" s="9">
        <f>Historicals!D160</f>
        <v>-2677</v>
      </c>
      <c r="E160" s="9">
        <f>Historicals!E160</f>
        <v>-2658</v>
      </c>
      <c r="F160" s="9">
        <f>Historicals!F160</f>
        <v>-3262</v>
      </c>
      <c r="G160" s="9">
        <f>Historicals!G160</f>
        <v>-3468</v>
      </c>
      <c r="H160" s="9">
        <f>Historicals!H160</f>
        <v>-3656</v>
      </c>
      <c r="I160" s="9">
        <f>Historicals!I160</f>
        <v>-4262</v>
      </c>
      <c r="J160" s="9">
        <f>I160+I160*J161</f>
        <v>-4741.2393260842473</v>
      </c>
      <c r="K160" s="9">
        <f t="shared" ref="K160:N160" si="221">J160+J160*K161</f>
        <v>-5274.3665760694057</v>
      </c>
      <c r="L160" s="9">
        <f t="shared" si="221"/>
        <v>-5867.4411615778008</v>
      </c>
      <c r="M160" s="9">
        <f t="shared" si="221"/>
        <v>-6527.2038429746844</v>
      </c>
      <c r="N160" s="9">
        <f t="shared" si="221"/>
        <v>-7261.1533434255743</v>
      </c>
      <c r="O160" s="1" t="s">
        <v>232</v>
      </c>
      <c r="P160" s="87"/>
    </row>
    <row r="161" spans="1:21" x14ac:dyDescent="0.35">
      <c r="A161" s="39" t="s">
        <v>128</v>
      </c>
      <c r="B161" s="40" t="str">
        <f t="shared" ref="B161:I161" si="222">+IFERROR(B160/A160-1,"nm")</f>
        <v>nm</v>
      </c>
      <c r="C161" s="40">
        <f t="shared" si="222"/>
        <v>0.145125716806352</v>
      </c>
      <c r="D161" s="40">
        <f t="shared" si="222"/>
        <v>3.1201848998459125E-2</v>
      </c>
      <c r="E161" s="40">
        <f t="shared" si="222"/>
        <v>-7.097497198356395E-3</v>
      </c>
      <c r="F161" s="40">
        <f t="shared" si="222"/>
        <v>0.22723852520692245</v>
      </c>
      <c r="G161" s="40">
        <f t="shared" si="222"/>
        <v>6.3151440833844275E-2</v>
      </c>
      <c r="H161" s="40">
        <f t="shared" si="222"/>
        <v>5.4209919261822392E-2</v>
      </c>
      <c r="I161" s="40">
        <f t="shared" si="222"/>
        <v>0.16575492341356668</v>
      </c>
      <c r="J161" s="40">
        <f>AVERAGE(C161,D161,E161,F161,I161)</f>
        <v>0.11244470344538877</v>
      </c>
      <c r="K161" s="40">
        <f>J161</f>
        <v>0.11244470344538877</v>
      </c>
      <c r="L161" s="40">
        <f t="shared" ref="L161:N161" si="223">K161</f>
        <v>0.11244470344538877</v>
      </c>
      <c r="M161" s="40">
        <f t="shared" si="223"/>
        <v>0.11244470344538877</v>
      </c>
      <c r="N161" s="40">
        <f t="shared" si="223"/>
        <v>0.11244470344538877</v>
      </c>
      <c r="P161" s="87"/>
    </row>
    <row r="162" spans="1:21" x14ac:dyDescent="0.35">
      <c r="A162" s="39" t="s">
        <v>130</v>
      </c>
      <c r="B162" s="40">
        <f t="shared" ref="B162:H162" si="224">+IFERROR(B160/B$151,"nm")</f>
        <v>-19.713043478260868</v>
      </c>
      <c r="C162" s="40">
        <f t="shared" si="224"/>
        <v>-35.561643835616437</v>
      </c>
      <c r="D162" s="40">
        <f t="shared" si="224"/>
        <v>-36.671232876712331</v>
      </c>
      <c r="E162" s="40">
        <f t="shared" si="224"/>
        <v>-30.204545454545453</v>
      </c>
      <c r="F162" s="40">
        <f t="shared" si="224"/>
        <v>-77.666666666666671</v>
      </c>
      <c r="G162" s="40">
        <f t="shared" si="224"/>
        <v>-115.6</v>
      </c>
      <c r="H162" s="40">
        <f t="shared" si="224"/>
        <v>-146.24</v>
      </c>
      <c r="I162" s="40">
        <f>+IFERROR(I160/I$151,"nm")</f>
        <v>-41.784313725490193</v>
      </c>
      <c r="J162" s="42">
        <f>+IFERROR(J160/J151,"nm")</f>
        <v>-52.967180904651599</v>
      </c>
      <c r="K162" s="42">
        <f>+IFERROR(K160/K151,"nm")</f>
        <v>-67.142953966349381</v>
      </c>
      <c r="L162" s="42">
        <f>+IFERROR(L160/L151,"nm")</f>
        <v>-85.112633716388757</v>
      </c>
      <c r="M162" s="42">
        <f>+IFERROR(M160/M151,"nm")</f>
        <v>-107.89159532317828</v>
      </c>
      <c r="N162" s="42">
        <f>+IFERROR(N160/N151,"nm")</f>
        <v>-136.7669620020115</v>
      </c>
      <c r="P162" s="87"/>
    </row>
    <row r="163" spans="1:21" x14ac:dyDescent="0.35">
      <c r="A163" s="9" t="s">
        <v>134</v>
      </c>
      <c r="B163" s="9">
        <f>Historicals!B184</f>
        <v>225</v>
      </c>
      <c r="C163" s="9">
        <f>Historicals!C184</f>
        <v>258</v>
      </c>
      <c r="D163" s="9">
        <f>Historicals!D184</f>
        <v>278</v>
      </c>
      <c r="E163" s="9">
        <f>Historicals!E184</f>
        <v>286</v>
      </c>
      <c r="F163" s="9">
        <f>Historicals!F184</f>
        <v>278</v>
      </c>
      <c r="G163" s="9">
        <f>Historicals!G184</f>
        <v>438</v>
      </c>
      <c r="H163" s="9">
        <f>Historicals!H184</f>
        <v>278</v>
      </c>
      <c r="I163" s="9">
        <f>Historicals!I184</f>
        <v>222</v>
      </c>
      <c r="J163" s="9">
        <f>I163+I163*J164</f>
        <v>223.04571537279853</v>
      </c>
      <c r="K163" s="9">
        <f t="shared" ref="K163:N163" si="225">J163+J163*K164</f>
        <v>224.09635651424978</v>
      </c>
      <c r="L163" s="9">
        <f t="shared" si="225"/>
        <v>225.15194662684027</v>
      </c>
      <c r="M163" s="9">
        <f t="shared" si="225"/>
        <v>226.21250902235019</v>
      </c>
      <c r="N163" s="9">
        <f t="shared" si="225"/>
        <v>227.27806712236818</v>
      </c>
      <c r="O163" s="1" t="s">
        <v>232</v>
      </c>
      <c r="P163" s="87"/>
      <c r="R163" s="55"/>
      <c r="S163" s="55"/>
      <c r="T163" s="55"/>
      <c r="U163" s="55"/>
    </row>
    <row r="164" spans="1:21" x14ac:dyDescent="0.35">
      <c r="A164" s="39" t="s">
        <v>128</v>
      </c>
      <c r="B164" s="40" t="str">
        <f t="shared" ref="B164:I164" si="226">+IFERROR(B163/A163-1,"nm")</f>
        <v>nm</v>
      </c>
      <c r="C164" s="40">
        <f t="shared" si="226"/>
        <v>0.14666666666666672</v>
      </c>
      <c r="D164" s="40">
        <f t="shared" si="226"/>
        <v>7.7519379844961156E-2</v>
      </c>
      <c r="E164" s="40">
        <f t="shared" si="226"/>
        <v>2.877697841726623E-2</v>
      </c>
      <c r="F164" s="40">
        <f t="shared" si="226"/>
        <v>-2.7972027972028024E-2</v>
      </c>
      <c r="G164" s="40">
        <f t="shared" si="226"/>
        <v>0.57553956834532372</v>
      </c>
      <c r="H164" s="40">
        <f t="shared" si="226"/>
        <v>-0.36529680365296802</v>
      </c>
      <c r="I164" s="40">
        <f t="shared" si="226"/>
        <v>-0.20143884892086328</v>
      </c>
      <c r="J164" s="40">
        <f>AVERAGE(C164,D164,E164,F164,I164)</f>
        <v>4.710429607200561E-3</v>
      </c>
      <c r="K164" s="40">
        <f>J164</f>
        <v>4.710429607200561E-3</v>
      </c>
      <c r="L164" s="40">
        <f t="shared" ref="L164:N164" si="227">K164</f>
        <v>4.710429607200561E-3</v>
      </c>
      <c r="M164" s="40">
        <f t="shared" si="227"/>
        <v>4.710429607200561E-3</v>
      </c>
      <c r="N164" s="40">
        <f t="shared" si="227"/>
        <v>4.710429607200561E-3</v>
      </c>
      <c r="P164" s="87"/>
      <c r="R164" s="71"/>
      <c r="S164" s="72"/>
      <c r="T164" s="72"/>
      <c r="U164" s="72"/>
    </row>
    <row r="165" spans="1:21" x14ac:dyDescent="0.35">
      <c r="A165" s="39" t="s">
        <v>132</v>
      </c>
      <c r="B165" s="40">
        <f t="shared" ref="B165:H165" si="228">+IFERROR(B163/B$151,"nm")</f>
        <v>1.9565217391304348</v>
      </c>
      <c r="C165" s="40">
        <f t="shared" si="228"/>
        <v>3.5342465753424657</v>
      </c>
      <c r="D165" s="40">
        <f t="shared" si="228"/>
        <v>3.8082191780821919</v>
      </c>
      <c r="E165" s="40">
        <f t="shared" si="228"/>
        <v>3.25</v>
      </c>
      <c r="F165" s="40">
        <f t="shared" si="228"/>
        <v>6.6190476190476186</v>
      </c>
      <c r="G165" s="40">
        <f t="shared" si="228"/>
        <v>14.6</v>
      </c>
      <c r="H165" s="40">
        <f t="shared" si="228"/>
        <v>11.12</v>
      </c>
      <c r="I165" s="40">
        <f>+IFERROR(I163/I$151,"nm")</f>
        <v>2.1764705882352939</v>
      </c>
      <c r="J165" s="42">
        <f>+IFERROR(J163/J151,"nm")</f>
        <v>2.4917752392633647</v>
      </c>
      <c r="K165" s="42">
        <f>+IFERROR(K163/K151,"nm")</f>
        <v>2.8527579819216751</v>
      </c>
      <c r="L165" s="42">
        <f>+IFERROR(L163/L151,"nm")</f>
        <v>3.266036187848028</v>
      </c>
      <c r="M165" s="42">
        <f>+IFERROR(M163/M151,"nm")</f>
        <v>3.7391858853541371</v>
      </c>
      <c r="N165" s="42">
        <f>+IFERROR(N163/N151,"nm")</f>
        <v>4.2808806397347166</v>
      </c>
      <c r="P165" s="87"/>
      <c r="R165" s="71"/>
      <c r="S165" s="73"/>
      <c r="T165" s="73"/>
      <c r="U165" s="73"/>
    </row>
    <row r="166" spans="1:21" x14ac:dyDescent="0.35">
      <c r="A166" s="9" t="s">
        <v>140</v>
      </c>
      <c r="B166" s="9">
        <f>Historicals!B172</f>
        <v>484</v>
      </c>
      <c r="C166" s="9">
        <f>Historicals!C172</f>
        <v>511</v>
      </c>
      <c r="D166" s="9">
        <f>Historicals!D172</f>
        <v>533</v>
      </c>
      <c r="E166" s="9">
        <f>Historicals!E172</f>
        <v>597</v>
      </c>
      <c r="F166" s="9">
        <f>Historicals!F172</f>
        <v>665</v>
      </c>
      <c r="G166" s="9">
        <f>Historicals!G172</f>
        <v>830</v>
      </c>
      <c r="H166" s="9">
        <f>Historicals!H172</f>
        <v>780</v>
      </c>
      <c r="I166" s="9">
        <f>Historicals!I172</f>
        <v>789</v>
      </c>
      <c r="J166" s="9">
        <f>I166+I166*J167</f>
        <v>843.33911131006755</v>
      </c>
      <c r="K166" s="9">
        <f t="shared" ref="K166:N166" si="229">J166+J166*K167</f>
        <v>901.42060413847219</v>
      </c>
      <c r="L166" s="9">
        <f t="shared" si="229"/>
        <v>963.50221953196876</v>
      </c>
      <c r="M166" s="9">
        <f t="shared" si="229"/>
        <v>1029.8594493857645</v>
      </c>
      <c r="N166" s="9">
        <f t="shared" si="229"/>
        <v>1100.7867589597797</v>
      </c>
      <c r="O166" s="1" t="s">
        <v>232</v>
      </c>
      <c r="P166" s="87"/>
      <c r="R166" s="55"/>
      <c r="S166" s="41"/>
      <c r="T166" s="41"/>
      <c r="U166" s="41"/>
    </row>
    <row r="167" spans="1:21" x14ac:dyDescent="0.35">
      <c r="A167" s="39" t="s">
        <v>128</v>
      </c>
      <c r="B167" s="40" t="str">
        <f t="shared" ref="B167:H167" si="230">+IFERROR(B166/A166-1,"nm")</f>
        <v>nm</v>
      </c>
      <c r="C167" s="40">
        <f t="shared" si="230"/>
        <v>5.5785123966942241E-2</v>
      </c>
      <c r="D167" s="40">
        <f t="shared" si="230"/>
        <v>4.3052837573385627E-2</v>
      </c>
      <c r="E167" s="40">
        <f t="shared" si="230"/>
        <v>0.12007504690431525</v>
      </c>
      <c r="F167" s="40">
        <f t="shared" si="230"/>
        <v>0.11390284757118918</v>
      </c>
      <c r="G167" s="40">
        <f t="shared" si="230"/>
        <v>0.24812030075187974</v>
      </c>
      <c r="H167" s="40">
        <f t="shared" si="230"/>
        <v>-6.0240963855421659E-2</v>
      </c>
      <c r="I167" s="40">
        <f>+IFERROR(I166/H166-1,"nm")</f>
        <v>1.1538461538461497E-2</v>
      </c>
      <c r="J167" s="40">
        <f>AVERAGE(C167,D167,E167,F167,I167)</f>
        <v>6.8870863510858762E-2</v>
      </c>
      <c r="K167" s="40">
        <f>J167</f>
        <v>6.8870863510858762E-2</v>
      </c>
      <c r="L167" s="40">
        <f t="shared" ref="L167:N167" si="231">K167</f>
        <v>6.8870863510858762E-2</v>
      </c>
      <c r="M167" s="40">
        <f t="shared" si="231"/>
        <v>6.8870863510858762E-2</v>
      </c>
      <c r="N167" s="40">
        <f t="shared" si="231"/>
        <v>6.8870863510858762E-2</v>
      </c>
      <c r="P167" s="87"/>
      <c r="R167" s="71"/>
      <c r="S167" s="72"/>
      <c r="T167" s="72"/>
      <c r="U167" s="72"/>
    </row>
    <row r="168" spans="1:21" x14ac:dyDescent="0.35">
      <c r="A168" s="39" t="s">
        <v>132</v>
      </c>
      <c r="B168" s="40">
        <f t="shared" ref="B168:H168" si="232">+IFERROR(B166/B$151,"nm")</f>
        <v>4.2086956521739127</v>
      </c>
      <c r="C168" s="40">
        <f t="shared" si="232"/>
        <v>7</v>
      </c>
      <c r="D168" s="40">
        <f t="shared" si="232"/>
        <v>7.3013698630136989</v>
      </c>
      <c r="E168" s="40">
        <f t="shared" si="232"/>
        <v>6.7840909090909092</v>
      </c>
      <c r="F168" s="40">
        <f t="shared" si="232"/>
        <v>15.833333333333334</v>
      </c>
      <c r="G168" s="40">
        <f t="shared" si="232"/>
        <v>27.666666666666668</v>
      </c>
      <c r="H168" s="40">
        <f t="shared" si="232"/>
        <v>31.2</v>
      </c>
      <c r="I168" s="40">
        <f>+IFERROR(I166/I$151,"nm")</f>
        <v>7.7352941176470589</v>
      </c>
      <c r="J168" s="42">
        <f>+IFERROR(J166/J151,"nm")</f>
        <v>9.4214386156331162</v>
      </c>
      <c r="K168" s="42">
        <f>+IFERROR(K166/K151,"nm")</f>
        <v>11.47512999998805</v>
      </c>
      <c r="L168" s="42">
        <f>+IFERROR(L166/L151,"nm")</f>
        <v>13.976486382677237</v>
      </c>
      <c r="M168" s="42">
        <f>+IFERROR(M166/M151,"nm")</f>
        <v>17.02309007439268</v>
      </c>
      <c r="N168" s="42">
        <f>+IFERROR(N166/N151,"nm")</f>
        <v>20.733794442074739</v>
      </c>
      <c r="P168" s="87"/>
      <c r="R168" s="71"/>
      <c r="S168" s="73"/>
      <c r="T168" s="73"/>
      <c r="U168" s="73"/>
    </row>
    <row r="169" spans="1:21" x14ac:dyDescent="0.35">
      <c r="A169" s="70" t="s">
        <v>245</v>
      </c>
      <c r="B169" s="36"/>
      <c r="C169" s="36"/>
      <c r="D169" s="36"/>
      <c r="E169" s="36"/>
      <c r="F169" s="36"/>
      <c r="G169" s="36"/>
      <c r="H169" s="36"/>
      <c r="I169" s="36"/>
      <c r="J169" s="32"/>
      <c r="K169" s="32"/>
      <c r="L169" s="32"/>
      <c r="M169" s="32"/>
      <c r="N169" s="32"/>
      <c r="P169" s="87"/>
      <c r="R169" s="74"/>
      <c r="S169" s="1"/>
      <c r="T169" s="1"/>
      <c r="U169" s="1"/>
    </row>
    <row r="170" spans="1:21" x14ac:dyDescent="0.35">
      <c r="A170" s="9" t="s">
        <v>135</v>
      </c>
      <c r="B170" s="9">
        <f>Historicals!B125+Historicals!B129+Historicals!B133+Historicals!B137</f>
        <v>11779</v>
      </c>
      <c r="C170" s="9">
        <f>Historicals!C125+Historicals!C129+Historicals!C133+Historicals!C137</f>
        <v>11885</v>
      </c>
      <c r="D170" s="9">
        <f>Historicals!D125+Historicals!D129+Historicals!D133+Historicals!D137</f>
        <v>12707</v>
      </c>
      <c r="E170" s="9"/>
      <c r="F170" s="9"/>
      <c r="G170" s="9"/>
      <c r="H170" s="9"/>
      <c r="I170" s="9"/>
      <c r="J170" s="9"/>
      <c r="K170" s="9"/>
      <c r="L170" s="9"/>
      <c r="M170" s="9"/>
      <c r="N170" s="9"/>
      <c r="P170" s="87"/>
      <c r="R170" s="55"/>
      <c r="S170" s="55"/>
      <c r="T170" s="55"/>
      <c r="U170" s="55"/>
    </row>
    <row r="171" spans="1:21" x14ac:dyDescent="0.35">
      <c r="A171" s="9" t="s">
        <v>129</v>
      </c>
      <c r="B171" s="9">
        <f>B172+B173</f>
        <v>2578</v>
      </c>
      <c r="C171" s="9">
        <f>SUM(Historicals!C156:C159)+C172</f>
        <v>2789</v>
      </c>
      <c r="D171" s="9">
        <f>SUM(Historicals!D156:D159)+D172</f>
        <v>2487</v>
      </c>
      <c r="E171" s="9"/>
      <c r="F171" s="9"/>
      <c r="G171" s="9"/>
      <c r="H171" s="9"/>
      <c r="I171" s="9"/>
      <c r="J171" s="41"/>
      <c r="K171" s="41"/>
      <c r="L171" s="41"/>
      <c r="M171" s="41"/>
      <c r="N171" s="41"/>
      <c r="P171" s="87"/>
      <c r="R171" s="55"/>
      <c r="S171" s="41"/>
      <c r="T171" s="41"/>
      <c r="U171" s="41"/>
    </row>
    <row r="172" spans="1:21" x14ac:dyDescent="0.35">
      <c r="A172" s="9" t="s">
        <v>131</v>
      </c>
      <c r="B172" s="9">
        <f>Historicals!B195</f>
        <v>136</v>
      </c>
      <c r="C172" s="9">
        <f>Historicals!C195</f>
        <v>0</v>
      </c>
      <c r="D172" s="9">
        <f>Historicals!D195</f>
        <v>0</v>
      </c>
      <c r="E172" s="9"/>
      <c r="F172" s="9"/>
      <c r="G172" s="9"/>
      <c r="H172" s="9"/>
      <c r="I172" s="9"/>
      <c r="J172" s="9"/>
      <c r="K172" s="9"/>
      <c r="L172" s="9"/>
      <c r="M172" s="9"/>
      <c r="N172" s="9"/>
      <c r="P172" s="87"/>
      <c r="R172" s="55"/>
      <c r="S172" s="55"/>
      <c r="T172" s="55"/>
      <c r="U172" s="55"/>
    </row>
    <row r="173" spans="1:21" x14ac:dyDescent="0.35">
      <c r="A173" s="9" t="s">
        <v>133</v>
      </c>
      <c r="B173" s="9">
        <f>Historicals!B156+Historicals!B157+Historicals!B158+Historicals!B159</f>
        <v>2442</v>
      </c>
      <c r="C173" s="9">
        <f>Historicals!C156+Historicals!C157+Historicals!C158+Historicals!C159</f>
        <v>2789</v>
      </c>
      <c r="D173" s="9">
        <f>Historicals!D156+Historicals!D157+Historicals!D158+Historicals!D159</f>
        <v>2487</v>
      </c>
      <c r="E173" s="3"/>
      <c r="F173" s="3"/>
      <c r="G173" s="3"/>
      <c r="H173" s="3"/>
      <c r="I173" s="3"/>
      <c r="J173" s="3"/>
      <c r="K173" s="3"/>
      <c r="L173" s="3"/>
      <c r="M173" s="3"/>
      <c r="N173" s="3"/>
      <c r="P173" s="87"/>
      <c r="R173" s="55"/>
      <c r="S173" s="56"/>
      <c r="T173" s="56"/>
      <c r="U173" s="56"/>
    </row>
    <row r="174" spans="1:21" x14ac:dyDescent="0.35">
      <c r="A174" s="9" t="s">
        <v>134</v>
      </c>
      <c r="B174" s="9">
        <f>Historicals!B183</f>
        <v>288</v>
      </c>
      <c r="C174" s="9">
        <f>Historicals!C183</f>
        <v>0</v>
      </c>
      <c r="D174" s="9">
        <f>Historicals!D183</f>
        <v>0</v>
      </c>
      <c r="E174" s="9"/>
      <c r="F174" s="9"/>
      <c r="G174" s="9"/>
      <c r="H174" s="9"/>
      <c r="I174" s="9"/>
      <c r="J174" s="9"/>
      <c r="K174" s="9"/>
      <c r="L174" s="9"/>
      <c r="M174" s="9"/>
      <c r="N174" s="9"/>
      <c r="P174" s="87"/>
      <c r="R174" s="55"/>
      <c r="S174" s="55"/>
      <c r="T174" s="55"/>
      <c r="U174" s="55"/>
    </row>
    <row r="175" spans="1:21" x14ac:dyDescent="0.35">
      <c r="A175" s="9" t="s">
        <v>140</v>
      </c>
      <c r="B175" s="9">
        <f>Historicals!B171</f>
        <v>806</v>
      </c>
      <c r="C175" s="9">
        <f>Historicals!C171</f>
        <v>971</v>
      </c>
      <c r="D175" s="9">
        <f>Historicals!D171</f>
        <v>0</v>
      </c>
      <c r="E175" s="9"/>
      <c r="F175" s="9"/>
      <c r="G175" s="9"/>
      <c r="H175" s="9"/>
      <c r="I175" s="9"/>
      <c r="J175" s="41"/>
      <c r="K175" s="41"/>
      <c r="L175" s="41"/>
      <c r="M175" s="41"/>
      <c r="N175" s="41"/>
      <c r="P175" s="87"/>
      <c r="R175" s="55"/>
      <c r="S175" s="41"/>
      <c r="T175" s="41"/>
      <c r="U175" s="41"/>
    </row>
    <row r="176" spans="1:21" x14ac:dyDescent="0.35">
      <c r="A176" s="70" t="s">
        <v>103</v>
      </c>
      <c r="B176" s="36"/>
      <c r="C176" s="36"/>
      <c r="D176" s="36"/>
      <c r="E176" s="36"/>
      <c r="F176" s="36"/>
      <c r="G176" s="36"/>
      <c r="H176" s="36"/>
      <c r="I176" s="36"/>
      <c r="J176" s="32"/>
      <c r="K176" s="32"/>
      <c r="L176" s="32"/>
      <c r="M176" s="32"/>
      <c r="N176" s="32"/>
      <c r="P176" s="87"/>
    </row>
    <row r="177" spans="1:21" x14ac:dyDescent="0.35">
      <c r="A177" s="9" t="s">
        <v>135</v>
      </c>
      <c r="B177" s="9">
        <f>Historicals!B143</f>
        <v>1982</v>
      </c>
      <c r="C177" s="9">
        <f>Historicals!C143</f>
        <v>1955</v>
      </c>
      <c r="D177" s="9">
        <f>Historicals!D143</f>
        <v>2042</v>
      </c>
      <c r="E177" s="9">
        <f>Historicals!E143</f>
        <v>1886</v>
      </c>
      <c r="F177" s="9">
        <f>Historicals!F143</f>
        <v>1906</v>
      </c>
      <c r="G177" s="9">
        <f>Historicals!G143</f>
        <v>1846</v>
      </c>
      <c r="H177" s="9">
        <f>Historicals!H143</f>
        <v>2205</v>
      </c>
      <c r="I177" s="9">
        <f>Historicals!I143</f>
        <v>2346</v>
      </c>
      <c r="J177" s="9">
        <f>I177+I177*J178</f>
        <v>2359.6222915500816</v>
      </c>
      <c r="K177" s="9">
        <f t="shared" ref="K177:N177" si="233">J177+J177*K178</f>
        <v>2373.3236823444408</v>
      </c>
      <c r="L177" s="9">
        <f t="shared" si="233"/>
        <v>2387.104631681018</v>
      </c>
      <c r="M177" s="9">
        <f t="shared" si="233"/>
        <v>2400.9656015247133</v>
      </c>
      <c r="N177" s="9">
        <f t="shared" si="233"/>
        <v>2414.9070565228749</v>
      </c>
      <c r="O177" s="1" t="s">
        <v>243</v>
      </c>
      <c r="P177" s="87"/>
    </row>
    <row r="178" spans="1:21" x14ac:dyDescent="0.35">
      <c r="A178" s="37" t="s">
        <v>128</v>
      </c>
      <c r="B178" s="40" t="str">
        <f t="shared" ref="B178:I178" si="234">+IFERROR(B177/A177-1,"nm")</f>
        <v>nm</v>
      </c>
      <c r="C178" s="40">
        <f t="shared" si="234"/>
        <v>-1.3622603430877955E-2</v>
      </c>
      <c r="D178" s="40">
        <f t="shared" si="234"/>
        <v>4.4501278772378416E-2</v>
      </c>
      <c r="E178" s="40">
        <f t="shared" si="234"/>
        <v>-7.6395690499510338E-2</v>
      </c>
      <c r="F178" s="40">
        <f t="shared" si="234"/>
        <v>1.0604453870625585E-2</v>
      </c>
      <c r="G178" s="40">
        <f t="shared" si="234"/>
        <v>-3.147953830010497E-2</v>
      </c>
      <c r="H178" s="40">
        <f t="shared" si="234"/>
        <v>0.19447453954496208</v>
      </c>
      <c r="I178" s="40">
        <f t="shared" si="234"/>
        <v>6.3945578231292544E-2</v>
      </c>
      <c r="J178" s="40">
        <f>AVERAGE(C178,D178,E178,F178,I178)</f>
        <v>5.8066033887816506E-3</v>
      </c>
      <c r="K178" s="40">
        <f>J178</f>
        <v>5.8066033887816506E-3</v>
      </c>
      <c r="L178" s="40">
        <f t="shared" ref="L178:N178" si="235">K178</f>
        <v>5.8066033887816506E-3</v>
      </c>
      <c r="M178" s="40">
        <f t="shared" si="235"/>
        <v>5.8066033887816506E-3</v>
      </c>
      <c r="N178" s="40">
        <f t="shared" si="235"/>
        <v>5.8066033887816506E-3</v>
      </c>
      <c r="P178" s="87"/>
    </row>
    <row r="179" spans="1:21" x14ac:dyDescent="0.35">
      <c r="A179" s="9" t="s">
        <v>129</v>
      </c>
      <c r="B179" s="9">
        <f>B186+B182</f>
        <v>535</v>
      </c>
      <c r="C179" s="9">
        <f t="shared" ref="C179:H179" si="236">C186+C182</f>
        <v>514</v>
      </c>
      <c r="D179" s="9">
        <f t="shared" si="236"/>
        <v>505</v>
      </c>
      <c r="E179" s="9">
        <f t="shared" si="236"/>
        <v>343</v>
      </c>
      <c r="F179" s="9">
        <f t="shared" si="236"/>
        <v>334</v>
      </c>
      <c r="G179" s="9">
        <f t="shared" si="236"/>
        <v>322</v>
      </c>
      <c r="H179" s="9">
        <f t="shared" si="236"/>
        <v>569</v>
      </c>
      <c r="I179" s="9">
        <f>I186+I182</f>
        <v>691</v>
      </c>
      <c r="J179" s="41">
        <f>+J186+J182</f>
        <v>663.87582936171009</v>
      </c>
      <c r="K179" s="41">
        <f t="shared" ref="K179:N179" si="237">+K186+K182</f>
        <v>638.25848514866857</v>
      </c>
      <c r="L179" s="41">
        <f t="shared" si="237"/>
        <v>614.1137499545581</v>
      </c>
      <c r="M179" s="41">
        <f t="shared" si="237"/>
        <v>591.41209809656618</v>
      </c>
      <c r="N179" s="41">
        <f t="shared" si="237"/>
        <v>570.12880982791444</v>
      </c>
      <c r="O179" s="1" t="s">
        <v>231</v>
      </c>
      <c r="P179" s="87"/>
      <c r="R179" s="55"/>
      <c r="S179" s="41"/>
      <c r="T179" s="41"/>
      <c r="U179" s="41"/>
    </row>
    <row r="180" spans="1:21" x14ac:dyDescent="0.35">
      <c r="A180" s="39" t="s">
        <v>128</v>
      </c>
      <c r="B180" s="40" t="str">
        <f t="shared" ref="B180:I180" si="238">+IFERROR(B179/A179-1,"nm")</f>
        <v>nm</v>
      </c>
      <c r="C180" s="40">
        <f t="shared" si="238"/>
        <v>-3.9252336448598157E-2</v>
      </c>
      <c r="D180" s="40">
        <f t="shared" si="238"/>
        <v>-1.7509727626459193E-2</v>
      </c>
      <c r="E180" s="40">
        <f t="shared" si="238"/>
        <v>-0.32079207920792074</v>
      </c>
      <c r="F180" s="40">
        <f t="shared" si="238"/>
        <v>-2.6239067055393583E-2</v>
      </c>
      <c r="G180" s="40">
        <f t="shared" si="238"/>
        <v>-3.59281437125748E-2</v>
      </c>
      <c r="H180" s="40">
        <f t="shared" si="238"/>
        <v>0.76708074534161486</v>
      </c>
      <c r="I180" s="40">
        <f t="shared" si="238"/>
        <v>0.21441124780316345</v>
      </c>
      <c r="J180" s="40">
        <f>+IFERROR(J179/I179-1,"nm")</f>
        <v>-3.9253503094486164E-2</v>
      </c>
      <c r="K180" s="40">
        <f>+IFERROR(K179/J179-1,"nm")</f>
        <v>-3.8587553696105448E-2</v>
      </c>
      <c r="L180" s="40">
        <f t="shared" ref="L180:N180" si="239">+IFERROR(L179/K179-1,"nm")</f>
        <v>-3.7829086108407073E-2</v>
      </c>
      <c r="M180" s="40">
        <f t="shared" si="239"/>
        <v>-3.6966525924019389E-2</v>
      </c>
      <c r="N180" s="40">
        <f t="shared" si="239"/>
        <v>-3.5987238572141256E-2</v>
      </c>
      <c r="P180" s="87"/>
      <c r="R180" s="71"/>
      <c r="S180" s="72"/>
      <c r="T180" s="72"/>
      <c r="U180" s="72"/>
    </row>
    <row r="181" spans="1:21" x14ac:dyDescent="0.35">
      <c r="A181" s="39" t="s">
        <v>130</v>
      </c>
      <c r="B181" s="40">
        <f>+IFERROR(B179/B177,"nm")</f>
        <v>0.26992936427850656</v>
      </c>
      <c r="C181" s="40">
        <f t="shared" ref="C181:I181" si="240">+IFERROR(C179/C177,"nm")</f>
        <v>0.26291560102301792</v>
      </c>
      <c r="D181" s="40">
        <f t="shared" si="240"/>
        <v>0.24730656219392752</v>
      </c>
      <c r="E181" s="40">
        <f t="shared" si="240"/>
        <v>0.18186638388123011</v>
      </c>
      <c r="F181" s="40">
        <f t="shared" si="240"/>
        <v>0.17523609653725078</v>
      </c>
      <c r="G181" s="40">
        <f t="shared" si="240"/>
        <v>0.17443120260021669</v>
      </c>
      <c r="H181" s="40">
        <f t="shared" si="240"/>
        <v>0.25804988662131517</v>
      </c>
      <c r="I181" s="40">
        <f t="shared" si="240"/>
        <v>0.29454390451832907</v>
      </c>
      <c r="J181" s="42">
        <f>+IFERROR(J179/J177,"nm")</f>
        <v>0.2813483461904393</v>
      </c>
      <c r="K181" s="42">
        <f>+IFERROR(K179/K177,"nm")</f>
        <v>0.26893023058623744</v>
      </c>
      <c r="L181" s="42">
        <f>+IFERROR(L179/L177,"nm")</f>
        <v>0.25726302140434221</v>
      </c>
      <c r="M181" s="42">
        <f>+IFERROR(M179/M177,"nm")</f>
        <v>0.24632260358957031</v>
      </c>
      <c r="N181" s="42">
        <f>+IFERROR(N179/N177,"nm")</f>
        <v>0.23608726815715195</v>
      </c>
      <c r="P181" s="87"/>
      <c r="R181" s="71"/>
      <c r="S181" s="73"/>
      <c r="T181" s="73"/>
      <c r="U181" s="73"/>
    </row>
    <row r="182" spans="1:21" x14ac:dyDescent="0.35">
      <c r="A182" s="9" t="s">
        <v>131</v>
      </c>
      <c r="B182" s="9">
        <f>Historicals!B198</f>
        <v>18</v>
      </c>
      <c r="C182" s="9">
        <f>Historicals!C198</f>
        <v>27</v>
      </c>
      <c r="D182" s="9">
        <f>Historicals!D198</f>
        <v>28</v>
      </c>
      <c r="E182" s="9">
        <f>Historicals!E198</f>
        <v>33</v>
      </c>
      <c r="F182" s="9">
        <f>Historicals!F198</f>
        <v>31</v>
      </c>
      <c r="G182" s="9">
        <f>Historicals!G198</f>
        <v>25</v>
      </c>
      <c r="H182" s="9">
        <f>Historicals!H198</f>
        <v>26</v>
      </c>
      <c r="I182" s="9">
        <f>Historicals!I198</f>
        <v>22</v>
      </c>
      <c r="J182" s="9">
        <f>I182+I182*J183</f>
        <v>24.205087505087505</v>
      </c>
      <c r="K182" s="9">
        <f t="shared" ref="K182:M182" si="241">J182+J182*K183</f>
        <v>26.631193687679239</v>
      </c>
      <c r="L182" s="9">
        <f t="shared" si="241"/>
        <v>29.300471526145909</v>
      </c>
      <c r="M182" s="9">
        <f t="shared" si="241"/>
        <v>32.237294419576664</v>
      </c>
      <c r="N182" s="9">
        <f>M182+M182*N183</f>
        <v>35.468478743323736</v>
      </c>
      <c r="O182" s="1" t="s">
        <v>232</v>
      </c>
      <c r="P182" s="87"/>
      <c r="R182" s="55"/>
      <c r="S182" s="55"/>
      <c r="T182" s="55"/>
      <c r="U182" s="55"/>
    </row>
    <row r="183" spans="1:21" x14ac:dyDescent="0.35">
      <c r="A183" s="39" t="s">
        <v>128</v>
      </c>
      <c r="B183" s="40" t="str">
        <f t="shared" ref="B183:I183" si="242">+IFERROR(B182/A182-1,"nm")</f>
        <v>nm</v>
      </c>
      <c r="C183" s="40">
        <f t="shared" si="242"/>
        <v>0.5</v>
      </c>
      <c r="D183" s="40">
        <f t="shared" si="242"/>
        <v>3.7037037037036979E-2</v>
      </c>
      <c r="E183" s="40">
        <f t="shared" si="242"/>
        <v>0.1785714285714286</v>
      </c>
      <c r="F183" s="40">
        <f t="shared" si="242"/>
        <v>-6.0606060606060552E-2</v>
      </c>
      <c r="G183" s="40">
        <f t="shared" si="242"/>
        <v>-0.19354838709677424</v>
      </c>
      <c r="H183" s="40">
        <f t="shared" si="242"/>
        <v>4.0000000000000036E-2</v>
      </c>
      <c r="I183" s="40">
        <f t="shared" si="242"/>
        <v>-0.15384615384615385</v>
      </c>
      <c r="J183" s="40">
        <f>AVERAGE(C183,D183,E183,F183,I183)</f>
        <v>0.10023125023125024</v>
      </c>
      <c r="K183" s="40">
        <f>J183</f>
        <v>0.10023125023125024</v>
      </c>
      <c r="L183" s="40">
        <f t="shared" ref="L183:N183" si="243">K183</f>
        <v>0.10023125023125024</v>
      </c>
      <c r="M183" s="40">
        <f t="shared" si="243"/>
        <v>0.10023125023125024</v>
      </c>
      <c r="N183" s="40">
        <f t="shared" si="243"/>
        <v>0.10023125023125024</v>
      </c>
      <c r="P183" s="87"/>
      <c r="R183" s="71"/>
      <c r="S183" s="72"/>
      <c r="T183" s="72"/>
      <c r="U183" s="72"/>
    </row>
    <row r="184" spans="1:21" x14ac:dyDescent="0.35">
      <c r="A184" s="39" t="s">
        <v>132</v>
      </c>
      <c r="B184" s="40">
        <f t="shared" ref="B184:H184" si="244">+IFERROR(B182/B$177,"nm")</f>
        <v>9.0817356205852677E-3</v>
      </c>
      <c r="C184" s="40">
        <f t="shared" si="244"/>
        <v>1.3810741687979539E-2</v>
      </c>
      <c r="D184" s="40">
        <f t="shared" si="244"/>
        <v>1.3712047012732615E-2</v>
      </c>
      <c r="E184" s="40">
        <f t="shared" si="244"/>
        <v>1.7497348886532343E-2</v>
      </c>
      <c r="F184" s="40">
        <f t="shared" si="244"/>
        <v>1.6264428121720881E-2</v>
      </c>
      <c r="G184" s="40">
        <f t="shared" si="244"/>
        <v>1.3542795232936078E-2</v>
      </c>
      <c r="H184" s="40">
        <f t="shared" si="244"/>
        <v>1.1791383219954649E-2</v>
      </c>
      <c r="I184" s="40">
        <f>+IFERROR(I182/I$177,"nm")</f>
        <v>9.3776641091219103E-3</v>
      </c>
      <c r="J184" s="40">
        <f>+IFERROR(J182/J177,"nm")</f>
        <v>1.0258034767584228E-2</v>
      </c>
      <c r="K184" s="40">
        <f>+IFERROR(K182/K177,"nm")</f>
        <v>1.122105420587728E-2</v>
      </c>
      <c r="L184" s="40">
        <f>+IFERROR(L182/L177,"nm")</f>
        <v>1.2274481452248822E-2</v>
      </c>
      <c r="M184" s="40">
        <f>+IFERROR(M182/M177,"nm")</f>
        <v>1.3426803948838183E-2</v>
      </c>
      <c r="N184" s="40">
        <f>+IFERROR(N182/N177,"nm")</f>
        <v>1.4687305934826882E-2</v>
      </c>
      <c r="P184" s="87"/>
      <c r="R184" s="71"/>
      <c r="S184" s="72"/>
      <c r="T184" s="72"/>
      <c r="U184" s="72"/>
    </row>
    <row r="185" spans="1:21" x14ac:dyDescent="0.35">
      <c r="A185" s="39" t="s">
        <v>139</v>
      </c>
      <c r="B185" s="40">
        <f t="shared" ref="B185:I185" si="245">+IFERROR(B182/B192,"nm")</f>
        <v>0.14754098360655737</v>
      </c>
      <c r="C185" s="40">
        <f t="shared" si="245"/>
        <v>0.216</v>
      </c>
      <c r="D185" s="40">
        <f t="shared" si="245"/>
        <v>0.224</v>
      </c>
      <c r="E185" s="40">
        <f t="shared" si="245"/>
        <v>0.28695652173913044</v>
      </c>
      <c r="F185" s="40">
        <f t="shared" si="245"/>
        <v>0.31</v>
      </c>
      <c r="G185" s="40">
        <f t="shared" si="245"/>
        <v>0.3125</v>
      </c>
      <c r="H185" s="40">
        <f t="shared" si="245"/>
        <v>0.41269841269841268</v>
      </c>
      <c r="I185" s="40">
        <f t="shared" si="245"/>
        <v>0.44897959183673469</v>
      </c>
      <c r="J185" s="42">
        <f>+IFERROR(J182/J192,"nm")</f>
        <v>0.53787953846358683</v>
      </c>
      <c r="K185" s="42">
        <f t="shared" ref="K185:N185" si="246">+IFERROR(K182/K192,"nm")</f>
        <v>0.64438206804510267</v>
      </c>
      <c r="L185" s="42">
        <f t="shared" si="246"/>
        <v>0.77197256992551178</v>
      </c>
      <c r="M185" s="42">
        <f t="shared" si="246"/>
        <v>0.92482655596754915</v>
      </c>
      <c r="N185" s="42">
        <f t="shared" si="246"/>
        <v>1.1079463078659999</v>
      </c>
      <c r="P185" s="87"/>
      <c r="R185" s="71"/>
      <c r="S185" s="73"/>
      <c r="T185" s="73"/>
      <c r="U185" s="73"/>
    </row>
    <row r="186" spans="1:21" x14ac:dyDescent="0.35">
      <c r="A186" s="9" t="s">
        <v>133</v>
      </c>
      <c r="B186" s="9">
        <f>Historicals!B162</f>
        <v>517</v>
      </c>
      <c r="C186" s="9">
        <f>Historicals!C162</f>
        <v>487</v>
      </c>
      <c r="D186" s="9">
        <f>Historicals!D162</f>
        <v>477</v>
      </c>
      <c r="E186" s="9">
        <f>Historicals!E162</f>
        <v>310</v>
      </c>
      <c r="F186" s="9">
        <f>Historicals!F162</f>
        <v>303</v>
      </c>
      <c r="G186" s="9">
        <f>Historicals!G162</f>
        <v>297</v>
      </c>
      <c r="H186" s="9">
        <f>Historicals!H162</f>
        <v>543</v>
      </c>
      <c r="I186" s="9">
        <f>Historicals!I162</f>
        <v>669</v>
      </c>
      <c r="J186" s="9">
        <f>I186+I186*J187</f>
        <v>639.67074185662261</v>
      </c>
      <c r="K186" s="9">
        <f t="shared" ref="K186:N186" si="247">J186+J186*K187</f>
        <v>611.62729146098934</v>
      </c>
      <c r="L186" s="9">
        <f t="shared" si="247"/>
        <v>584.81327842841222</v>
      </c>
      <c r="M186" s="9">
        <f t="shared" si="247"/>
        <v>559.17480367698954</v>
      </c>
      <c r="N186" s="9">
        <f t="shared" si="247"/>
        <v>534.66033108459067</v>
      </c>
      <c r="O186" s="1" t="s">
        <v>232</v>
      </c>
      <c r="P186" s="87"/>
    </row>
    <row r="187" spans="1:21" x14ac:dyDescent="0.35">
      <c r="A187" s="39" t="s">
        <v>128</v>
      </c>
      <c r="B187" s="40" t="str">
        <f t="shared" ref="B187:I187" si="248">+IFERROR(B186/A186-1,"nm")</f>
        <v>nm</v>
      </c>
      <c r="C187" s="40">
        <f t="shared" si="248"/>
        <v>-5.8027079303675011E-2</v>
      </c>
      <c r="D187" s="40">
        <f t="shared" si="248"/>
        <v>-2.0533880903490731E-2</v>
      </c>
      <c r="E187" s="40">
        <f t="shared" si="248"/>
        <v>-0.35010482180293501</v>
      </c>
      <c r="F187" s="40">
        <f t="shared" si="248"/>
        <v>-2.2580645161290325E-2</v>
      </c>
      <c r="G187" s="40">
        <f t="shared" si="248"/>
        <v>-1.980198019801982E-2</v>
      </c>
      <c r="H187" s="40">
        <f t="shared" si="248"/>
        <v>0.82828282828282829</v>
      </c>
      <c r="I187" s="40">
        <f t="shared" si="248"/>
        <v>0.2320441988950277</v>
      </c>
      <c r="J187" s="40">
        <f>AVERAGE(C187,D187,E187,F187,I187)</f>
        <v>-4.3840445655272675E-2</v>
      </c>
      <c r="K187" s="40">
        <f>J187</f>
        <v>-4.3840445655272675E-2</v>
      </c>
      <c r="L187" s="40">
        <f t="shared" ref="L187:N187" si="249">K187</f>
        <v>-4.3840445655272675E-2</v>
      </c>
      <c r="M187" s="40">
        <f t="shared" si="249"/>
        <v>-4.3840445655272675E-2</v>
      </c>
      <c r="N187" s="40">
        <f t="shared" si="249"/>
        <v>-4.3840445655272675E-2</v>
      </c>
      <c r="P187" s="87"/>
    </row>
    <row r="188" spans="1:21" x14ac:dyDescent="0.35">
      <c r="A188" s="39" t="s">
        <v>130</v>
      </c>
      <c r="B188" s="40">
        <f t="shared" ref="B188:H188" si="250">+IFERROR(B186/B$177,"nm")</f>
        <v>0.26084762865792127</v>
      </c>
      <c r="C188" s="40">
        <f t="shared" si="250"/>
        <v>0.24910485933503837</v>
      </c>
      <c r="D188" s="40">
        <f t="shared" si="250"/>
        <v>0.23359451518119489</v>
      </c>
      <c r="E188" s="40">
        <f t="shared" si="250"/>
        <v>0.16436903499469777</v>
      </c>
      <c r="F188" s="40">
        <f t="shared" si="250"/>
        <v>0.1589716684155299</v>
      </c>
      <c r="G188" s="40">
        <f t="shared" si="250"/>
        <v>0.16088840736728061</v>
      </c>
      <c r="H188" s="40">
        <f t="shared" si="250"/>
        <v>0.24625850340136055</v>
      </c>
      <c r="I188" s="40">
        <f>+IFERROR(I186/I$177,"nm")</f>
        <v>0.28516624040920718</v>
      </c>
      <c r="J188" s="42">
        <f>+IFERROR(J186/J177,"nm")</f>
        <v>0.27109031142285511</v>
      </c>
      <c r="K188" s="42">
        <f>+IFERROR(K186/K177,"nm")</f>
        <v>0.25770917638036017</v>
      </c>
      <c r="L188" s="42">
        <f>+IFERROR(L186/L177,"nm")</f>
        <v>0.24498853995209338</v>
      </c>
      <c r="M188" s="42">
        <f>+IFERROR(M186/M177,"nm")</f>
        <v>0.23289579964073215</v>
      </c>
      <c r="N188" s="42">
        <f>+IFERROR(N186/N177,"nm")</f>
        <v>0.22139996222232505</v>
      </c>
      <c r="P188" s="87"/>
    </row>
    <row r="189" spans="1:21" x14ac:dyDescent="0.35">
      <c r="A189" s="9" t="s">
        <v>134</v>
      </c>
      <c r="B189" s="9">
        <f>Historicals!B186</f>
        <v>69</v>
      </c>
      <c r="C189" s="9">
        <f>Historicals!C186</f>
        <v>39</v>
      </c>
      <c r="D189" s="9">
        <f>Historicals!D186</f>
        <v>30</v>
      </c>
      <c r="E189" s="9">
        <f>Historicals!E186</f>
        <v>22</v>
      </c>
      <c r="F189" s="9">
        <f>Historicals!F186</f>
        <v>18</v>
      </c>
      <c r="G189" s="9">
        <f>Historicals!G186</f>
        <v>12</v>
      </c>
      <c r="H189" s="9">
        <f>Historicals!H186</f>
        <v>7</v>
      </c>
      <c r="I189" s="9">
        <f>Historicals!I186</f>
        <v>9</v>
      </c>
      <c r="J189" s="9">
        <f>I189+I189*J190</f>
        <v>7.509019675976198</v>
      </c>
      <c r="K189" s="9">
        <f t="shared" ref="K189:N189" si="251">J189+J189*K190</f>
        <v>6.2650418326886319</v>
      </c>
      <c r="L189" s="9">
        <f t="shared" si="251"/>
        <v>5.227146932496991</v>
      </c>
      <c r="M189" s="9">
        <f t="shared" si="251"/>
        <v>4.361194351704281</v>
      </c>
      <c r="N189" s="9">
        <f t="shared" si="251"/>
        <v>3.6386993553004117</v>
      </c>
      <c r="O189" s="1" t="s">
        <v>232</v>
      </c>
      <c r="P189" s="87"/>
      <c r="R189" s="55"/>
      <c r="S189" s="55"/>
      <c r="T189" s="55"/>
      <c r="U189" s="55"/>
    </row>
    <row r="190" spans="1:21" x14ac:dyDescent="0.35">
      <c r="A190" s="39" t="s">
        <v>128</v>
      </c>
      <c r="B190" s="40" t="str">
        <f t="shared" ref="B190:I190" si="252">+IFERROR(B189/A189-1,"nm")</f>
        <v>nm</v>
      </c>
      <c r="C190" s="40">
        <f t="shared" si="252"/>
        <v>-0.43478260869565222</v>
      </c>
      <c r="D190" s="40">
        <f t="shared" si="252"/>
        <v>-0.23076923076923073</v>
      </c>
      <c r="E190" s="40">
        <f t="shared" si="252"/>
        <v>-0.26666666666666672</v>
      </c>
      <c r="F190" s="40">
        <f t="shared" si="252"/>
        <v>-0.18181818181818177</v>
      </c>
      <c r="G190" s="40">
        <f t="shared" si="252"/>
        <v>-0.33333333333333337</v>
      </c>
      <c r="H190" s="40">
        <f t="shared" si="252"/>
        <v>-0.41666666666666663</v>
      </c>
      <c r="I190" s="40">
        <f t="shared" si="252"/>
        <v>0.28571428571428581</v>
      </c>
      <c r="J190" s="40">
        <f>AVERAGE(C190,D190,E190,F190,I190)</f>
        <v>-0.16566448044708912</v>
      </c>
      <c r="K190" s="40">
        <f>J190</f>
        <v>-0.16566448044708912</v>
      </c>
      <c r="L190" s="40">
        <f t="shared" ref="L190:N190" si="253">K190</f>
        <v>-0.16566448044708912</v>
      </c>
      <c r="M190" s="40">
        <f t="shared" si="253"/>
        <v>-0.16566448044708912</v>
      </c>
      <c r="N190" s="40">
        <f t="shared" si="253"/>
        <v>-0.16566448044708912</v>
      </c>
      <c r="P190" s="87"/>
      <c r="R190" s="71"/>
      <c r="S190" s="72"/>
      <c r="T190" s="72"/>
      <c r="U190" s="72"/>
    </row>
    <row r="191" spans="1:21" x14ac:dyDescent="0.35">
      <c r="A191" s="39" t="s">
        <v>132</v>
      </c>
      <c r="B191" s="40">
        <f t="shared" ref="B191:H191" si="254">+IFERROR(B189/B$177,"nm")</f>
        <v>3.481331987891019E-2</v>
      </c>
      <c r="C191" s="40">
        <f t="shared" si="254"/>
        <v>1.9948849104859334E-2</v>
      </c>
      <c r="D191" s="40">
        <f t="shared" si="254"/>
        <v>1.4691478942213516E-2</v>
      </c>
      <c r="E191" s="40">
        <f t="shared" si="254"/>
        <v>1.166489925768823E-2</v>
      </c>
      <c r="F191" s="40">
        <f t="shared" si="254"/>
        <v>9.4438614900314802E-3</v>
      </c>
      <c r="G191" s="40">
        <f t="shared" si="254"/>
        <v>6.5005417118093175E-3</v>
      </c>
      <c r="H191" s="40">
        <f t="shared" si="254"/>
        <v>3.1746031746031746E-3</v>
      </c>
      <c r="I191" s="40">
        <f>+IFERROR(I189/I$177,"nm")</f>
        <v>3.8363171355498722E-3</v>
      </c>
      <c r="J191" s="42">
        <f>+IFERROR(J189/J177,"nm")</f>
        <v>3.1822973121021746E-3</v>
      </c>
      <c r="K191" s="42">
        <f>+IFERROR(K189/K177,"nm")</f>
        <v>2.63977555160105E-3</v>
      </c>
      <c r="L191" s="42">
        <f>+IFERROR(L189/L177,"nm")</f>
        <v>2.1897435341223367E-3</v>
      </c>
      <c r="M191" s="42">
        <f>+IFERROR(M189/M177,"nm")</f>
        <v>1.8164335003111834E-3</v>
      </c>
      <c r="N191" s="42">
        <f>+IFERROR(N189/N177,"nm")</f>
        <v>1.5067657968334503E-3</v>
      </c>
      <c r="P191" s="87"/>
      <c r="R191" s="71"/>
      <c r="S191" s="73"/>
      <c r="T191" s="73"/>
      <c r="U191" s="73"/>
    </row>
    <row r="192" spans="1:21" x14ac:dyDescent="0.35">
      <c r="A192" s="9" t="s">
        <v>140</v>
      </c>
      <c r="B192" s="9">
        <f>Historicals!B174</f>
        <v>122</v>
      </c>
      <c r="C192" s="9">
        <f>Historicals!C174</f>
        <v>125</v>
      </c>
      <c r="D192" s="9">
        <f>Historicals!D174</f>
        <v>125</v>
      </c>
      <c r="E192" s="9">
        <f>Historicals!E174</f>
        <v>115</v>
      </c>
      <c r="F192" s="9">
        <f>Historicals!F174</f>
        <v>100</v>
      </c>
      <c r="G192" s="9">
        <f>Historicals!G174</f>
        <v>80</v>
      </c>
      <c r="H192" s="9">
        <f>Historicals!H174</f>
        <v>63</v>
      </c>
      <c r="I192" s="9">
        <f>Historicals!I174</f>
        <v>49</v>
      </c>
      <c r="J192" s="9">
        <f>I192+I192*J193</f>
        <v>45.00094495921438</v>
      </c>
      <c r="K192" s="9">
        <f t="shared" ref="K192:N192" si="255">J192+J192*K193</f>
        <v>41.328266269841677</v>
      </c>
      <c r="L192" s="9">
        <f t="shared" si="255"/>
        <v>37.955327258549012</v>
      </c>
      <c r="M192" s="9">
        <f t="shared" si="255"/>
        <v>34.857665160631292</v>
      </c>
      <c r="N192" s="9">
        <f t="shared" si="255"/>
        <v>32.012813700005992</v>
      </c>
      <c r="O192" s="1" t="s">
        <v>232</v>
      </c>
      <c r="P192" s="87"/>
      <c r="R192" s="55"/>
      <c r="S192" s="41"/>
      <c r="T192" s="41"/>
      <c r="U192" s="41"/>
    </row>
    <row r="193" spans="1:21" x14ac:dyDescent="0.35">
      <c r="A193" s="39" t="s">
        <v>128</v>
      </c>
      <c r="B193" s="40" t="str">
        <f t="shared" ref="B193:H193" si="256">+IFERROR(B192/A192-1,"nm")</f>
        <v>nm</v>
      </c>
      <c r="C193" s="40">
        <f t="shared" si="256"/>
        <v>2.4590163934426146E-2</v>
      </c>
      <c r="D193" s="40">
        <f t="shared" si="256"/>
        <v>0</v>
      </c>
      <c r="E193" s="40">
        <f t="shared" si="256"/>
        <v>-7.999999999999996E-2</v>
      </c>
      <c r="F193" s="40">
        <f t="shared" si="256"/>
        <v>-0.13043478260869568</v>
      </c>
      <c r="G193" s="40">
        <f t="shared" si="256"/>
        <v>-0.19999999999999996</v>
      </c>
      <c r="H193" s="40">
        <f t="shared" si="256"/>
        <v>-0.21250000000000002</v>
      </c>
      <c r="I193" s="40">
        <f>+IFERROR(I192/H192-1,"nm")</f>
        <v>-0.22222222222222221</v>
      </c>
      <c r="J193" s="40">
        <f>AVERAGE(C193,D193,E193,F193,I193)</f>
        <v>-8.1613368179298346E-2</v>
      </c>
      <c r="K193" s="40">
        <f>J193</f>
        <v>-8.1613368179298346E-2</v>
      </c>
      <c r="L193" s="40">
        <f t="shared" ref="L193:N193" si="257">K193</f>
        <v>-8.1613368179298346E-2</v>
      </c>
      <c r="M193" s="40">
        <f t="shared" si="257"/>
        <v>-8.1613368179298346E-2</v>
      </c>
      <c r="N193" s="40">
        <f t="shared" si="257"/>
        <v>-8.1613368179298346E-2</v>
      </c>
      <c r="P193" s="87"/>
      <c r="R193" s="71"/>
      <c r="S193" s="72"/>
      <c r="T193" s="72"/>
      <c r="U193" s="72"/>
    </row>
    <row r="194" spans="1:21" x14ac:dyDescent="0.35">
      <c r="A194" s="39" t="s">
        <v>132</v>
      </c>
      <c r="B194" s="40">
        <f t="shared" ref="B194:H194" si="258">+IFERROR(B192/B$177,"nm")</f>
        <v>6.1553985872855703E-2</v>
      </c>
      <c r="C194" s="40">
        <f t="shared" si="258"/>
        <v>6.3938618925831206E-2</v>
      </c>
      <c r="D194" s="40">
        <f t="shared" si="258"/>
        <v>6.1214495592556317E-2</v>
      </c>
      <c r="E194" s="40">
        <f t="shared" si="258"/>
        <v>6.097560975609756E-2</v>
      </c>
      <c r="F194" s="40">
        <f t="shared" si="258"/>
        <v>5.2465897166841552E-2</v>
      </c>
      <c r="G194" s="40">
        <f t="shared" si="258"/>
        <v>4.3336944745395449E-2</v>
      </c>
      <c r="H194" s="40">
        <f t="shared" si="258"/>
        <v>2.8571428571428571E-2</v>
      </c>
      <c r="I194" s="40">
        <f>+IFERROR(I192/I$177,"nm")</f>
        <v>2.0886615515771527E-2</v>
      </c>
      <c r="J194" s="42">
        <f>+IFERROR(J192/J177,"nm")</f>
        <v>1.9071249292891019E-2</v>
      </c>
      <c r="K194" s="42">
        <f>+IFERROR(K192/K177,"nm")</f>
        <v>1.7413666149834382E-2</v>
      </c>
      <c r="L194" s="42">
        <f>+IFERROR(L192/L177,"nm")</f>
        <v>1.5900152324626243E-2</v>
      </c>
      <c r="M194" s="42">
        <f>+IFERROR(M192/M177,"nm")</f>
        <v>1.4518185990876013E-2</v>
      </c>
      <c r="N194" s="42">
        <f>+IFERROR(N192/N177,"nm")</f>
        <v>1.3256333660352098E-2</v>
      </c>
      <c r="P194" s="87"/>
      <c r="R194" s="71"/>
      <c r="S194" s="73"/>
      <c r="T194" s="73"/>
      <c r="U194" s="73"/>
    </row>
    <row r="195" spans="1:21" x14ac:dyDescent="0.35">
      <c r="A195" s="70" t="s">
        <v>107</v>
      </c>
      <c r="B195" s="36"/>
      <c r="C195" s="36"/>
      <c r="D195" s="36"/>
      <c r="E195" s="36"/>
      <c r="F195" s="36"/>
      <c r="G195" s="36"/>
      <c r="H195" s="36"/>
      <c r="I195" s="36"/>
      <c r="J195" s="32"/>
      <c r="K195" s="32"/>
      <c r="L195" s="32"/>
      <c r="M195" s="32"/>
      <c r="N195" s="32"/>
      <c r="P195" s="87"/>
    </row>
    <row r="196" spans="1:21" x14ac:dyDescent="0.35">
      <c r="A196" s="9" t="s">
        <v>135</v>
      </c>
      <c r="B196" s="9">
        <f>Historicals!B148</f>
        <v>-82</v>
      </c>
      <c r="C196" s="9">
        <f>Historicals!C148</f>
        <v>-86</v>
      </c>
      <c r="D196" s="9">
        <f>Historicals!D148</f>
        <v>75</v>
      </c>
      <c r="E196" s="9">
        <f>Historicals!E148</f>
        <v>26</v>
      </c>
      <c r="F196" s="9">
        <f>Historicals!F148</f>
        <v>-7</v>
      </c>
      <c r="G196" s="9">
        <f>Historicals!G148</f>
        <v>-11</v>
      </c>
      <c r="H196" s="9">
        <f>Historicals!H148</f>
        <v>40</v>
      </c>
      <c r="I196" s="9">
        <f>Historicals!I148</f>
        <v>-72</v>
      </c>
      <c r="J196" s="9">
        <f>I196</f>
        <v>-72</v>
      </c>
      <c r="K196" s="9">
        <f t="shared" ref="K196:N196" si="259">J196</f>
        <v>-72</v>
      </c>
      <c r="L196" s="9">
        <f t="shared" si="259"/>
        <v>-72</v>
      </c>
      <c r="M196" s="9">
        <f t="shared" si="259"/>
        <v>-72</v>
      </c>
      <c r="N196" s="9">
        <f t="shared" si="259"/>
        <v>-72</v>
      </c>
      <c r="O196" s="75" t="s">
        <v>244</v>
      </c>
      <c r="P196" s="87"/>
    </row>
    <row r="197" spans="1:21" x14ac:dyDescent="0.35">
      <c r="A197" s="37" t="s">
        <v>128</v>
      </c>
      <c r="B197" s="40" t="str">
        <f t="shared" ref="B197:N197" si="260">+IFERROR(B196/A196-1,"nm")</f>
        <v>nm</v>
      </c>
      <c r="C197" s="40">
        <f t="shared" si="260"/>
        <v>4.8780487804878092E-2</v>
      </c>
      <c r="D197" s="40">
        <f t="shared" si="260"/>
        <v>-1.8720930232558139</v>
      </c>
      <c r="E197" s="40">
        <f t="shared" si="260"/>
        <v>-0.65333333333333332</v>
      </c>
      <c r="F197" s="40">
        <f t="shared" si="260"/>
        <v>-1.2692307692307692</v>
      </c>
      <c r="G197" s="40">
        <f t="shared" si="260"/>
        <v>0.5714285714285714</v>
      </c>
      <c r="H197" s="40">
        <f t="shared" si="260"/>
        <v>-4.6363636363636367</v>
      </c>
      <c r="I197" s="40">
        <f t="shared" si="260"/>
        <v>-2.8</v>
      </c>
      <c r="J197" s="40">
        <f t="shared" si="260"/>
        <v>0</v>
      </c>
      <c r="K197" s="40">
        <f t="shared" si="260"/>
        <v>0</v>
      </c>
      <c r="L197" s="40">
        <f t="shared" si="260"/>
        <v>0</v>
      </c>
      <c r="M197" s="40">
        <f t="shared" si="260"/>
        <v>0</v>
      </c>
      <c r="N197" s="40">
        <f t="shared" si="260"/>
        <v>0</v>
      </c>
      <c r="P197" s="87"/>
    </row>
    <row r="198" spans="1:21" x14ac:dyDescent="0.35">
      <c r="A198" s="9" t="s">
        <v>129</v>
      </c>
      <c r="B198" s="9">
        <f t="shared" ref="B198:I198" si="261">+B201+B205</f>
        <v>-1022</v>
      </c>
      <c r="C198" s="9">
        <f t="shared" si="261"/>
        <v>-1089</v>
      </c>
      <c r="D198" s="9">
        <f t="shared" si="261"/>
        <v>-633</v>
      </c>
      <c r="E198" s="9">
        <f t="shared" si="261"/>
        <v>-1346</v>
      </c>
      <c r="F198" s="9">
        <f t="shared" si="261"/>
        <v>-1694</v>
      </c>
      <c r="G198" s="9">
        <f t="shared" si="261"/>
        <v>-1855</v>
      </c>
      <c r="H198" s="9">
        <f t="shared" si="261"/>
        <v>-2120</v>
      </c>
      <c r="I198" s="9">
        <f t="shared" si="261"/>
        <v>-2085</v>
      </c>
      <c r="J198" s="41">
        <f>+J205+J201</f>
        <v>-2309.0565552439402</v>
      </c>
      <c r="K198" s="41">
        <f t="shared" ref="K198:N198" si="262">+K205+K201</f>
        <v>-2557.117628323329</v>
      </c>
      <c r="L198" s="41">
        <f t="shared" si="262"/>
        <v>-2831.7489716810078</v>
      </c>
      <c r="M198" s="41">
        <f t="shared" si="262"/>
        <v>-3135.7900866169166</v>
      </c>
      <c r="N198" s="41">
        <f t="shared" si="262"/>
        <v>-3472.3833895591224</v>
      </c>
      <c r="O198" s="1" t="s">
        <v>231</v>
      </c>
      <c r="P198" s="87"/>
    </row>
    <row r="199" spans="1:21" x14ac:dyDescent="0.35">
      <c r="A199" s="39" t="s">
        <v>128</v>
      </c>
      <c r="B199" s="40" t="str">
        <f t="shared" ref="B199:I199" si="263">+IFERROR(B198/A198-1,"nm")</f>
        <v>nm</v>
      </c>
      <c r="C199" s="40">
        <f t="shared" si="263"/>
        <v>6.5557729941291498E-2</v>
      </c>
      <c r="D199" s="40">
        <f t="shared" si="263"/>
        <v>-0.41873278236914602</v>
      </c>
      <c r="E199" s="40">
        <f t="shared" si="263"/>
        <v>1.126382306477093</v>
      </c>
      <c r="F199" s="40">
        <f t="shared" si="263"/>
        <v>0.25854383358098065</v>
      </c>
      <c r="G199" s="40">
        <f t="shared" si="263"/>
        <v>9.5041322314049603E-2</v>
      </c>
      <c r="H199" s="40">
        <f t="shared" si="263"/>
        <v>0.14285714285714279</v>
      </c>
      <c r="I199" s="40">
        <f t="shared" si="263"/>
        <v>-1.650943396226412E-2</v>
      </c>
      <c r="J199" s="40">
        <f>+IFERROR(J198/I198-1,"nm")</f>
        <v>0.10746117757503137</v>
      </c>
      <c r="K199" s="40">
        <f>+IFERROR(K198/J198-1,"nm")</f>
        <v>0.10742962207488338</v>
      </c>
      <c r="L199" s="40">
        <f t="shared" ref="L199:N199" si="264">+IFERROR(L198/K198-1,"nm")</f>
        <v>0.10739879163781429</v>
      </c>
      <c r="M199" s="40">
        <f t="shared" si="264"/>
        <v>0.1073686679068242</v>
      </c>
      <c r="N199" s="40">
        <f t="shared" si="264"/>
        <v>0.1073392330624221</v>
      </c>
      <c r="P199" s="87"/>
    </row>
    <row r="200" spans="1:21" x14ac:dyDescent="0.35">
      <c r="A200" s="39" t="s">
        <v>130</v>
      </c>
      <c r="B200" s="40">
        <f>+IFERROR(B198/B196,"nm")</f>
        <v>12.463414634146341</v>
      </c>
      <c r="C200" s="40">
        <f t="shared" ref="C200:I200" si="265">+IFERROR(C198/C196,"nm")</f>
        <v>12.662790697674419</v>
      </c>
      <c r="D200" s="40">
        <f t="shared" si="265"/>
        <v>-8.44</v>
      </c>
      <c r="E200" s="40">
        <f t="shared" si="265"/>
        <v>-51.769230769230766</v>
      </c>
      <c r="F200" s="40">
        <f t="shared" si="265"/>
        <v>242</v>
      </c>
      <c r="G200" s="40">
        <f t="shared" si="265"/>
        <v>168.63636363636363</v>
      </c>
      <c r="H200" s="40">
        <f t="shared" si="265"/>
        <v>-53</v>
      </c>
      <c r="I200" s="40">
        <f t="shared" si="265"/>
        <v>28.958333333333332</v>
      </c>
      <c r="J200" s="42">
        <f>+IFERROR(J198/J196,"nm")</f>
        <v>32.070229933943615</v>
      </c>
      <c r="K200" s="42">
        <f>+IFERROR(K198/K196,"nm")</f>
        <v>35.515522615601789</v>
      </c>
      <c r="L200" s="42">
        <f>+IFERROR(L198/L196,"nm")</f>
        <v>39.329846828902888</v>
      </c>
      <c r="M200" s="42">
        <f>+IFERROR(M198/M196,"nm")</f>
        <v>43.552640091901623</v>
      </c>
      <c r="N200" s="42">
        <f>+IFERROR(N198/N196,"nm")</f>
        <v>48.227547077210033</v>
      </c>
      <c r="P200" s="87"/>
    </row>
    <row r="201" spans="1:21" x14ac:dyDescent="0.35">
      <c r="A201" s="9" t="s">
        <v>131</v>
      </c>
      <c r="B201" s="9">
        <f>Historicals!B199</f>
        <v>75</v>
      </c>
      <c r="C201" s="9">
        <f>Historicals!C199</f>
        <v>84</v>
      </c>
      <c r="D201" s="9">
        <f>Historicals!D199</f>
        <v>91</v>
      </c>
      <c r="E201" s="9">
        <f>Historicals!E199</f>
        <v>110</v>
      </c>
      <c r="F201" s="9">
        <f>Historicals!F199</f>
        <v>116</v>
      </c>
      <c r="G201" s="9">
        <f>Historicals!G199</f>
        <v>112</v>
      </c>
      <c r="H201" s="9">
        <f>Historicals!H199</f>
        <v>141</v>
      </c>
      <c r="I201" s="9">
        <f>Historicals!I199</f>
        <v>134</v>
      </c>
      <c r="J201" s="9">
        <f>I201+I201*J202</f>
        <v>145.17625945685521</v>
      </c>
      <c r="K201" s="9">
        <f t="shared" ref="K201:M201" si="266">J201+J201*K202</f>
        <v>157.28467395435925</v>
      </c>
      <c r="L201" s="9">
        <f t="shared" si="266"/>
        <v>170.40298981033533</v>
      </c>
      <c r="M201" s="9">
        <f t="shared" si="266"/>
        <v>184.61543776812758</v>
      </c>
      <c r="N201" s="9">
        <f>M201+M201*N202</f>
        <v>200.01327382960145</v>
      </c>
      <c r="O201" s="1" t="s">
        <v>232</v>
      </c>
      <c r="P201" s="87"/>
    </row>
    <row r="202" spans="1:21" x14ac:dyDescent="0.35">
      <c r="A202" s="39" t="s">
        <v>128</v>
      </c>
      <c r="B202" s="40" t="str">
        <f t="shared" ref="B202:I202" si="267">+IFERROR(B201/A201-1,"nm")</f>
        <v>nm</v>
      </c>
      <c r="C202" s="40">
        <f t="shared" si="267"/>
        <v>0.12000000000000011</v>
      </c>
      <c r="D202" s="40">
        <f t="shared" si="267"/>
        <v>8.3333333333333259E-2</v>
      </c>
      <c r="E202" s="40">
        <f t="shared" si="267"/>
        <v>0.20879120879120872</v>
      </c>
      <c r="F202" s="40">
        <f t="shared" si="267"/>
        <v>5.4545454545454453E-2</v>
      </c>
      <c r="G202" s="40">
        <f t="shared" si="267"/>
        <v>-3.4482758620689613E-2</v>
      </c>
      <c r="H202" s="40">
        <f t="shared" si="267"/>
        <v>0.2589285714285714</v>
      </c>
      <c r="I202" s="40">
        <f t="shared" si="267"/>
        <v>-4.9645390070921946E-2</v>
      </c>
      <c r="J202" s="40">
        <f>AVERAGE(C202,D202,E202,F202,I202)</f>
        <v>8.3404921319814918E-2</v>
      </c>
      <c r="K202" s="40">
        <f>J202</f>
        <v>8.3404921319814918E-2</v>
      </c>
      <c r="L202" s="40">
        <f t="shared" ref="L202:N202" si="268">K202</f>
        <v>8.3404921319814918E-2</v>
      </c>
      <c r="M202" s="40">
        <f t="shared" si="268"/>
        <v>8.3404921319814918E-2</v>
      </c>
      <c r="N202" s="40">
        <f t="shared" si="268"/>
        <v>8.3404921319814918E-2</v>
      </c>
      <c r="P202" s="87"/>
    </row>
    <row r="203" spans="1:21" x14ac:dyDescent="0.35">
      <c r="A203" s="39" t="s">
        <v>132</v>
      </c>
      <c r="B203" s="40">
        <f>+IFERROR(B201/B196,"nm")</f>
        <v>-0.91463414634146345</v>
      </c>
      <c r="C203" s="40">
        <f t="shared" ref="C203:I203" si="269">+IFERROR(C201/C196,"nm")</f>
        <v>-0.97674418604651159</v>
      </c>
      <c r="D203" s="40">
        <f t="shared" si="269"/>
        <v>1.2133333333333334</v>
      </c>
      <c r="E203" s="40">
        <f t="shared" si="269"/>
        <v>4.2307692307692308</v>
      </c>
      <c r="F203" s="40">
        <f t="shared" si="269"/>
        <v>-16.571428571428573</v>
      </c>
      <c r="G203" s="40">
        <f t="shared" si="269"/>
        <v>-10.181818181818182</v>
      </c>
      <c r="H203" s="40">
        <f t="shared" si="269"/>
        <v>3.5249999999999999</v>
      </c>
      <c r="I203" s="40">
        <f t="shared" si="269"/>
        <v>-1.8611111111111112</v>
      </c>
      <c r="J203" s="40">
        <f>+IFERROR(J201/J196,"nm")</f>
        <v>-2.0163369369007667</v>
      </c>
      <c r="K203" s="40">
        <f>+IFERROR(K201/K196,"nm")</f>
        <v>-2.1845093604772119</v>
      </c>
      <c r="L203" s="40">
        <f>+IFERROR(L201/L196,"nm")</f>
        <v>-2.3667081918102131</v>
      </c>
      <c r="M203" s="40">
        <f>+IFERROR(M201/M196,"nm")</f>
        <v>-2.5641033023351052</v>
      </c>
      <c r="N203" s="40">
        <f>+IFERROR(N201/N196,"nm")</f>
        <v>-2.7779621365222424</v>
      </c>
      <c r="P203" s="87"/>
    </row>
    <row r="204" spans="1:21" x14ac:dyDescent="0.35">
      <c r="A204" s="39" t="s">
        <v>139</v>
      </c>
      <c r="B204" s="40">
        <f>+IFERROR(B201/B211,"nm")</f>
        <v>0.10518934081346423</v>
      </c>
      <c r="C204" s="40">
        <f t="shared" ref="C204:I204" si="270">+IFERROR(C201/C211,"nm")</f>
        <v>8.9647812166488788E-2</v>
      </c>
      <c r="D204" s="40">
        <f t="shared" si="270"/>
        <v>7.3505654281098551E-2</v>
      </c>
      <c r="E204" s="40">
        <f t="shared" si="270"/>
        <v>7.586206896551724E-2</v>
      </c>
      <c r="F204" s="40">
        <f t="shared" si="270"/>
        <v>6.9336521219366412E-2</v>
      </c>
      <c r="G204" s="40">
        <f t="shared" si="270"/>
        <v>5.845511482254697E-2</v>
      </c>
      <c r="H204" s="40">
        <f t="shared" si="270"/>
        <v>7.5401069518716571E-2</v>
      </c>
      <c r="I204" s="40">
        <f t="shared" si="270"/>
        <v>7.374793615850303E-2</v>
      </c>
      <c r="J204" s="42">
        <f>+IFERROR(J201/J211,"nm")</f>
        <v>7.3735550774495548E-2</v>
      </c>
      <c r="K204" s="42">
        <f t="shared" ref="K204:N204" si="271">+IFERROR(K201/K211,"nm")</f>
        <v>7.3723167470515591E-2</v>
      </c>
      <c r="L204" s="42">
        <f t="shared" si="271"/>
        <v>7.3710786246213827E-2</v>
      </c>
      <c r="M204" s="42">
        <f t="shared" si="271"/>
        <v>7.3698407101240995E-2</v>
      </c>
      <c r="N204" s="42">
        <f t="shared" si="271"/>
        <v>7.3686030035247901E-2</v>
      </c>
      <c r="P204" s="87"/>
    </row>
    <row r="205" spans="1:21" x14ac:dyDescent="0.35">
      <c r="A205" s="9" t="s">
        <v>133</v>
      </c>
      <c r="B205" s="3">
        <f>Historicals!B163</f>
        <v>-1097</v>
      </c>
      <c r="C205" s="3">
        <f>Historicals!C163</f>
        <v>-1173</v>
      </c>
      <c r="D205" s="3">
        <f>Historicals!D163</f>
        <v>-724</v>
      </c>
      <c r="E205" s="3">
        <f>Historicals!E163</f>
        <v>-1456</v>
      </c>
      <c r="F205" s="3">
        <f>Historicals!F163</f>
        <v>-1810</v>
      </c>
      <c r="G205" s="3">
        <f>Historicals!G163</f>
        <v>-1967</v>
      </c>
      <c r="H205" s="3">
        <f>Historicals!H163</f>
        <v>-2261</v>
      </c>
      <c r="I205" s="3">
        <f>Historicals!I163</f>
        <v>-2219</v>
      </c>
      <c r="J205" s="9">
        <f>I205+I205*J206</f>
        <v>-2454.2328147007956</v>
      </c>
      <c r="K205" s="9">
        <f t="shared" ref="K205:N205" si="272">J205+J205*K206</f>
        <v>-2714.4023022776882</v>
      </c>
      <c r="L205" s="9">
        <f t="shared" si="272"/>
        <v>-3002.1519614913432</v>
      </c>
      <c r="M205" s="9">
        <f t="shared" si="272"/>
        <v>-3320.4055243850444</v>
      </c>
      <c r="N205" s="9">
        <f t="shared" si="272"/>
        <v>-3672.3966633887239</v>
      </c>
      <c r="O205" s="1" t="s">
        <v>242</v>
      </c>
      <c r="P205" s="87"/>
    </row>
    <row r="206" spans="1:21" x14ac:dyDescent="0.35">
      <c r="A206" s="39" t="s">
        <v>128</v>
      </c>
      <c r="B206" s="40" t="str">
        <f t="shared" ref="B206:I206" si="273">+IFERROR(B205/A205-1,"nm")</f>
        <v>nm</v>
      </c>
      <c r="C206" s="40">
        <f t="shared" si="273"/>
        <v>6.9279854147675568E-2</v>
      </c>
      <c r="D206" s="40">
        <f t="shared" si="273"/>
        <v>-0.38277919863597609</v>
      </c>
      <c r="E206" s="40">
        <f t="shared" si="273"/>
        <v>1.0110497237569063</v>
      </c>
      <c r="F206" s="40">
        <f t="shared" si="273"/>
        <v>0.24313186813186816</v>
      </c>
      <c r="G206" s="40">
        <f t="shared" si="273"/>
        <v>8.6740331491712785E-2</v>
      </c>
      <c r="H206" s="40">
        <f t="shared" si="273"/>
        <v>0.14946619217081847</v>
      </c>
      <c r="I206" s="40">
        <f t="shared" si="273"/>
        <v>-1.8575851393188847E-2</v>
      </c>
      <c r="J206" s="40">
        <f>AVERAGE(C206,F206,G206,H206,I206)</f>
        <v>0.10600847890977723</v>
      </c>
      <c r="K206" s="40">
        <f>J206</f>
        <v>0.10600847890977723</v>
      </c>
      <c r="L206" s="40">
        <f t="shared" ref="L206:N206" si="274">K206</f>
        <v>0.10600847890977723</v>
      </c>
      <c r="M206" s="40">
        <f t="shared" si="274"/>
        <v>0.10600847890977723</v>
      </c>
      <c r="N206" s="40">
        <f t="shared" si="274"/>
        <v>0.10600847890977723</v>
      </c>
      <c r="P206" s="87"/>
    </row>
    <row r="207" spans="1:21" x14ac:dyDescent="0.35">
      <c r="A207" s="39" t="s">
        <v>130</v>
      </c>
      <c r="B207" s="40">
        <f>+IFERROR(B205/B196,"nm")</f>
        <v>13.378048780487806</v>
      </c>
      <c r="C207" s="40">
        <f t="shared" ref="C207:I207" si="275">+IFERROR(C205/C196,"nm")</f>
        <v>13.63953488372093</v>
      </c>
      <c r="D207" s="40">
        <f t="shared" si="275"/>
        <v>-9.6533333333333342</v>
      </c>
      <c r="E207" s="40">
        <f t="shared" si="275"/>
        <v>-56</v>
      </c>
      <c r="F207" s="40">
        <f t="shared" si="275"/>
        <v>258.57142857142856</v>
      </c>
      <c r="G207" s="40">
        <f t="shared" si="275"/>
        <v>178.81818181818181</v>
      </c>
      <c r="H207" s="40">
        <f t="shared" si="275"/>
        <v>-56.524999999999999</v>
      </c>
      <c r="I207" s="40">
        <f t="shared" si="275"/>
        <v>30.819444444444443</v>
      </c>
      <c r="J207" s="42">
        <f>+IFERROR(J205/J196,"nm")</f>
        <v>34.086566870844386</v>
      </c>
      <c r="K207" s="42">
        <f>+IFERROR(K205/K196,"nm")</f>
        <v>37.700031976079003</v>
      </c>
      <c r="L207" s="42">
        <f>+IFERROR(L205/L196,"nm")</f>
        <v>41.696555020713099</v>
      </c>
      <c r="M207" s="42">
        <f>+IFERROR(M205/M196,"nm")</f>
        <v>46.116743394236728</v>
      </c>
      <c r="N207" s="42">
        <f>+IFERROR(N205/N196,"nm")</f>
        <v>51.005509213732275</v>
      </c>
      <c r="P207" s="87"/>
    </row>
    <row r="208" spans="1:21" x14ac:dyDescent="0.35">
      <c r="A208" s="9" t="s">
        <v>134</v>
      </c>
      <c r="B208" s="9">
        <f>Historicals!B187</f>
        <v>104</v>
      </c>
      <c r="C208" s="9">
        <f>Historicals!C187</f>
        <v>264</v>
      </c>
      <c r="D208" s="9">
        <f>Historicals!D187</f>
        <v>291</v>
      </c>
      <c r="E208" s="9">
        <f>Historicals!E187</f>
        <v>159</v>
      </c>
      <c r="F208" s="9">
        <f>Historicals!F187</f>
        <v>377</v>
      </c>
      <c r="G208" s="9">
        <f>Historicals!G187</f>
        <v>318</v>
      </c>
      <c r="H208" s="9">
        <f>Historicals!H187</f>
        <v>11</v>
      </c>
      <c r="I208" s="9">
        <f>Historicals!I187</f>
        <v>50</v>
      </c>
      <c r="J208" s="9">
        <f>I208+I208*J209</f>
        <v>74.016965269614701</v>
      </c>
      <c r="K208" s="9">
        <f t="shared" ref="K208:N208" si="276">J208+J208*K209</f>
        <v>109.57022295446697</v>
      </c>
      <c r="L208" s="9">
        <f t="shared" si="276"/>
        <v>162.20110774009441</v>
      </c>
      <c r="M208" s="9">
        <f t="shared" si="276"/>
        <v>240.112675165832</v>
      </c>
      <c r="N208" s="9">
        <f t="shared" si="276"/>
        <v>355.44823077087324</v>
      </c>
      <c r="O208" s="1" t="s">
        <v>242</v>
      </c>
      <c r="P208" s="87"/>
      <c r="R208" s="55"/>
      <c r="S208" s="55"/>
      <c r="T208" s="55"/>
      <c r="U208" s="55"/>
    </row>
    <row r="209" spans="1:21" x14ac:dyDescent="0.35">
      <c r="A209" s="39" t="s">
        <v>128</v>
      </c>
      <c r="B209" s="40" t="str">
        <f t="shared" ref="B209:I209" si="277">+IFERROR(B208/A208-1,"nm")</f>
        <v>nm</v>
      </c>
      <c r="C209" s="40">
        <f t="shared" si="277"/>
        <v>1.5384615384615383</v>
      </c>
      <c r="D209" s="40">
        <f t="shared" si="277"/>
        <v>0.10227272727272729</v>
      </c>
      <c r="E209" s="40">
        <f t="shared" si="277"/>
        <v>-0.45360824742268047</v>
      </c>
      <c r="F209" s="40">
        <f t="shared" si="277"/>
        <v>1.3710691823899372</v>
      </c>
      <c r="G209" s="40">
        <f t="shared" si="277"/>
        <v>-0.156498673740053</v>
      </c>
      <c r="H209" s="40">
        <f t="shared" si="277"/>
        <v>-0.96540880503144655</v>
      </c>
      <c r="I209" s="40">
        <f t="shared" si="277"/>
        <v>3.5454545454545459</v>
      </c>
      <c r="J209" s="40">
        <f>AVERAGE(C209,D209,E209,F209,G209)</f>
        <v>0.48033930539229386</v>
      </c>
      <c r="K209" s="40">
        <f>J209</f>
        <v>0.48033930539229386</v>
      </c>
      <c r="L209" s="40">
        <f t="shared" ref="L209:N209" si="278">K209</f>
        <v>0.48033930539229386</v>
      </c>
      <c r="M209" s="40">
        <f t="shared" si="278"/>
        <v>0.48033930539229386</v>
      </c>
      <c r="N209" s="40">
        <f t="shared" si="278"/>
        <v>0.48033930539229386</v>
      </c>
      <c r="P209" s="87"/>
      <c r="R209" s="71"/>
      <c r="S209" s="72"/>
      <c r="T209" s="72"/>
      <c r="U209" s="72"/>
    </row>
    <row r="210" spans="1:21" x14ac:dyDescent="0.35">
      <c r="A210" s="39" t="s">
        <v>132</v>
      </c>
      <c r="B210" s="40">
        <f>+IFERROR(B208/B196,"nm")</f>
        <v>-1.2682926829268293</v>
      </c>
      <c r="C210" s="40">
        <f t="shared" ref="C210:I210" si="279">+IFERROR(C208/C196,"nm")</f>
        <v>-3.0697674418604652</v>
      </c>
      <c r="D210" s="40">
        <f t="shared" si="279"/>
        <v>3.88</v>
      </c>
      <c r="E210" s="40">
        <f t="shared" si="279"/>
        <v>6.115384615384615</v>
      </c>
      <c r="F210" s="40">
        <f t="shared" si="279"/>
        <v>-53.857142857142854</v>
      </c>
      <c r="G210" s="40">
        <f t="shared" si="279"/>
        <v>-28.90909090909091</v>
      </c>
      <c r="H210" s="40">
        <f t="shared" si="279"/>
        <v>0.27500000000000002</v>
      </c>
      <c r="I210" s="40">
        <f t="shared" si="279"/>
        <v>-0.69444444444444442</v>
      </c>
      <c r="J210" s="42">
        <f>+IFERROR(J208/J196,"nm")</f>
        <v>-1.0280134065224265</v>
      </c>
      <c r="K210" s="42">
        <f>+IFERROR(K208/K196,"nm")</f>
        <v>-1.5218086521453746</v>
      </c>
      <c r="L210" s="42">
        <f>+IFERROR(L208/L196,"nm")</f>
        <v>-2.2527931630568667</v>
      </c>
      <c r="M210" s="42">
        <f>+IFERROR(M208/M196,"nm")</f>
        <v>-3.3348982661921109</v>
      </c>
      <c r="N210" s="42">
        <f>+IFERROR(N208/N196,"nm")</f>
        <v>-4.936780982928795</v>
      </c>
      <c r="P210" s="87"/>
      <c r="R210" s="71"/>
      <c r="S210" s="73"/>
      <c r="T210" s="73"/>
      <c r="U210" s="73"/>
    </row>
    <row r="211" spans="1:21" x14ac:dyDescent="0.35">
      <c r="A211" s="9" t="s">
        <v>140</v>
      </c>
      <c r="B211" s="9">
        <f>Historicals!B175</f>
        <v>713</v>
      </c>
      <c r="C211" s="9">
        <f>Historicals!C175</f>
        <v>937</v>
      </c>
      <c r="D211" s="9">
        <f>Historicals!D175</f>
        <v>1238</v>
      </c>
      <c r="E211" s="9">
        <f>Historicals!E175</f>
        <v>1450</v>
      </c>
      <c r="F211" s="9">
        <f>Historicals!F175</f>
        <v>1673</v>
      </c>
      <c r="G211" s="9">
        <f>Historicals!G175</f>
        <v>1916</v>
      </c>
      <c r="H211" s="9">
        <f>Historicals!H175</f>
        <v>1870</v>
      </c>
      <c r="I211" s="9">
        <f>Historicals!I175</f>
        <v>1817</v>
      </c>
      <c r="J211" s="9">
        <f>I211+I211*J212</f>
        <v>1968.8773994629244</v>
      </c>
      <c r="K211" s="9">
        <f t="shared" ref="K211:N211" si="280">J211+J211*K212</f>
        <v>2133.4497601078083</v>
      </c>
      <c r="L211" s="9">
        <f t="shared" si="280"/>
        <v>2311.7782144005841</v>
      </c>
      <c r="M211" s="9">
        <f t="shared" si="280"/>
        <v>2505.0125915817639</v>
      </c>
      <c r="N211" s="9">
        <f t="shared" si="280"/>
        <v>2714.3988315549718</v>
      </c>
      <c r="O211" s="1" t="s">
        <v>242</v>
      </c>
      <c r="P211" s="87"/>
      <c r="R211" s="55"/>
      <c r="S211" s="41"/>
      <c r="T211" s="41"/>
      <c r="U211" s="41"/>
    </row>
    <row r="212" spans="1:21" x14ac:dyDescent="0.35">
      <c r="A212" s="39" t="s">
        <v>128</v>
      </c>
      <c r="B212" s="40" t="str">
        <f t="shared" ref="B212:H212" si="281">+IFERROR(B211/A211-1,"nm")</f>
        <v>nm</v>
      </c>
      <c r="C212" s="40">
        <f t="shared" si="281"/>
        <v>0.31416549789621318</v>
      </c>
      <c r="D212" s="40">
        <f t="shared" si="281"/>
        <v>0.32123799359658478</v>
      </c>
      <c r="E212" s="40">
        <f t="shared" si="281"/>
        <v>0.17124394184168024</v>
      </c>
      <c r="F212" s="40">
        <f t="shared" si="281"/>
        <v>0.15379310344827579</v>
      </c>
      <c r="G212" s="40">
        <f t="shared" si="281"/>
        <v>0.14524805738194857</v>
      </c>
      <c r="H212" s="40">
        <f t="shared" si="281"/>
        <v>-2.4008350730688965E-2</v>
      </c>
      <c r="I212" s="40">
        <f>+IFERROR(I211/H211-1,"nm")</f>
        <v>-2.8342245989304793E-2</v>
      </c>
      <c r="J212" s="40">
        <f>AVERAGE(I212,G212,E212,F212,H212)</f>
        <v>8.3586901190382173E-2</v>
      </c>
      <c r="K212" s="40">
        <f>J212</f>
        <v>8.3586901190382173E-2</v>
      </c>
      <c r="L212" s="40">
        <f t="shared" ref="L212:N212" si="282">K212</f>
        <v>8.3586901190382173E-2</v>
      </c>
      <c r="M212" s="40">
        <f t="shared" si="282"/>
        <v>8.3586901190382173E-2</v>
      </c>
      <c r="N212" s="40">
        <f t="shared" si="282"/>
        <v>8.3586901190382173E-2</v>
      </c>
      <c r="P212" s="87"/>
      <c r="R212" s="71"/>
      <c r="S212" s="72"/>
      <c r="T212" s="72"/>
      <c r="U212" s="72"/>
    </row>
    <row r="213" spans="1:21" x14ac:dyDescent="0.35">
      <c r="A213" s="39" t="s">
        <v>132</v>
      </c>
      <c r="B213" s="40">
        <f>+IFERROR(B211/B196,"nm")</f>
        <v>-8.6951219512195124</v>
      </c>
      <c r="C213" s="40">
        <f t="shared" ref="C213:I213" si="283">+IFERROR(C211/C196,"nm")</f>
        <v>-10.895348837209303</v>
      </c>
      <c r="D213" s="40">
        <f t="shared" si="283"/>
        <v>16.506666666666668</v>
      </c>
      <c r="E213" s="40">
        <f t="shared" si="283"/>
        <v>55.769230769230766</v>
      </c>
      <c r="F213" s="40">
        <f t="shared" si="283"/>
        <v>-239</v>
      </c>
      <c r="G213" s="40">
        <f t="shared" si="283"/>
        <v>-174.18181818181819</v>
      </c>
      <c r="H213" s="40">
        <f t="shared" si="283"/>
        <v>46.75</v>
      </c>
      <c r="I213" s="40">
        <f t="shared" si="283"/>
        <v>-25.236111111111111</v>
      </c>
      <c r="J213" s="42">
        <f>+IFERROR(J211/J196,"nm")</f>
        <v>-27.345519436985061</v>
      </c>
      <c r="K213" s="42">
        <f>+IFERROR(K211/K196,"nm")</f>
        <v>-29.631246668164003</v>
      </c>
      <c r="L213" s="42">
        <f>+IFERROR(L211/L196,"nm")</f>
        <v>-32.108030755563668</v>
      </c>
      <c r="M213" s="42">
        <f>+IFERROR(M211/M196,"nm")</f>
        <v>-34.791841549746721</v>
      </c>
      <c r="N213" s="42">
        <f>+IFERROR(N211/N196,"nm")</f>
        <v>-37.699983771596834</v>
      </c>
      <c r="P213" s="87"/>
      <c r="R213" s="71"/>
      <c r="S213" s="73"/>
      <c r="T213" s="73"/>
      <c r="U213" s="73"/>
    </row>
  </sheetData>
  <mergeCells count="6">
    <mergeCell ref="P150:P213"/>
    <mergeCell ref="P3:P11"/>
    <mergeCell ref="P20:P50"/>
    <mergeCell ref="P51:P83"/>
    <mergeCell ref="P84:P116"/>
    <mergeCell ref="P117:P149"/>
  </mergeCells>
  <hyperlinks>
    <hyperlink ref="P17"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9"/>
  <sheetViews>
    <sheetView tabSelected="1" topLeftCell="E21" zoomScale="106" zoomScaleNormal="106" workbookViewId="0">
      <selection activeCell="O43" sqref="O43"/>
    </sheetView>
  </sheetViews>
  <sheetFormatPr defaultColWidth="8.90625" defaultRowHeight="14.5" x14ac:dyDescent="0.35"/>
  <cols>
    <col min="1" max="1" width="48.81640625" customWidth="1"/>
    <col min="2" max="14" width="11.81640625" customWidth="1"/>
    <col min="15" max="15" width="52.54296875" customWidth="1"/>
    <col min="18" max="18" width="48.81640625" customWidth="1"/>
    <col min="19" max="21" width="13.90625" bestFit="1" customWidth="1"/>
  </cols>
  <sheetData>
    <row r="1" spans="1:21" ht="60" customHeight="1" x14ac:dyDescent="0.6">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+K1+1</f>
        <v>2025</v>
      </c>
      <c r="M1" s="32">
        <f>+L1+1</f>
        <v>2026</v>
      </c>
      <c r="N1" s="32">
        <f>+M1+1</f>
        <v>2027</v>
      </c>
      <c r="O1" s="53" t="s">
        <v>207</v>
      </c>
      <c r="R1" s="66" t="s">
        <v>219</v>
      </c>
      <c r="S1" s="67"/>
      <c r="T1" s="67"/>
      <c r="U1" s="67"/>
    </row>
    <row r="2" spans="1:21" x14ac:dyDescent="0.35">
      <c r="A2" s="33" t="s">
        <v>142</v>
      </c>
      <c r="B2" s="33"/>
      <c r="C2" s="33"/>
      <c r="D2" s="33"/>
      <c r="E2" s="33"/>
      <c r="F2" s="33"/>
      <c r="G2" s="33"/>
      <c r="H2" s="33"/>
      <c r="I2" s="33"/>
      <c r="J2" s="33"/>
      <c r="K2" s="33"/>
      <c r="L2" s="33"/>
      <c r="M2" s="33"/>
      <c r="N2" s="33"/>
      <c r="R2" s="33" t="s">
        <v>265</v>
      </c>
      <c r="S2" s="67" t="s">
        <v>220</v>
      </c>
      <c r="T2" s="67" t="s">
        <v>221</v>
      </c>
      <c r="U2" s="67" t="s">
        <v>222</v>
      </c>
    </row>
    <row r="3" spans="1:21" x14ac:dyDescent="0.35">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51161.196732827491</v>
      </c>
      <c r="K3" s="9">
        <f>'Segmental forecast'!K3</f>
        <v>56149.628448212214</v>
      </c>
      <c r="L3" s="9">
        <f>'Segmental forecast'!L3</f>
        <v>61748.324895947138</v>
      </c>
      <c r="M3" s="9">
        <f>'Segmental forecast'!M3</f>
        <v>68041.307074738812</v>
      </c>
      <c r="N3" s="9">
        <f>'Segmental forecast'!N3</f>
        <v>75125.32780467211</v>
      </c>
      <c r="O3" s="89" t="s">
        <v>248</v>
      </c>
      <c r="R3" t="s">
        <v>151</v>
      </c>
      <c r="S3" s="3">
        <v>7824.8103799865303</v>
      </c>
      <c r="T3" s="3">
        <f>Historicals!J25</f>
        <v>7441</v>
      </c>
      <c r="U3" s="3">
        <f>T3-S3</f>
        <v>-383.81037998653028</v>
      </c>
    </row>
    <row r="4" spans="1:21" x14ac:dyDescent="0.35">
      <c r="A4" s="35" t="s">
        <v>128</v>
      </c>
      <c r="B4" s="40" t="str">
        <f>'Segmental forecast'!B4</f>
        <v>nm</v>
      </c>
      <c r="C4" s="40">
        <f>'Segmental forecast'!C4</f>
        <v>5.8004640371229765E-2</v>
      </c>
      <c r="D4" s="40">
        <f>'Segmental forecast'!D4</f>
        <v>6.0971089696071123E-2</v>
      </c>
      <c r="E4" s="40">
        <f>'Segmental forecast'!E4</f>
        <v>5.95924308588065E-2</v>
      </c>
      <c r="F4" s="40">
        <f>'Segmental forecast'!F4</f>
        <v>7.4731433909388079E-2</v>
      </c>
      <c r="G4" s="40">
        <f>'Segmental forecast'!G4</f>
        <v>-4.3817266150267153E-2</v>
      </c>
      <c r="H4" s="40">
        <f>'Segmental forecast'!H4</f>
        <v>0.19076009945726269</v>
      </c>
      <c r="I4" s="40">
        <f>'Segmental forecast'!I4</f>
        <v>4.8767344739323759E-2</v>
      </c>
      <c r="J4" s="40">
        <f>'Segmental forecast'!J4</f>
        <v>9.5294299568132956E-2</v>
      </c>
      <c r="K4" s="40">
        <f>'Segmental forecast'!K4</f>
        <v>9.7504203066929085E-2</v>
      </c>
      <c r="L4" s="40">
        <f>'Segmental forecast'!L4</f>
        <v>9.971030267633374E-2</v>
      </c>
      <c r="M4" s="40">
        <f>'Segmental forecast'!M4</f>
        <v>0.10191340719600173</v>
      </c>
      <c r="N4" s="40">
        <f>'Segmental forecast'!N4</f>
        <v>0.10411353094895692</v>
      </c>
      <c r="O4" s="89"/>
      <c r="R4" t="s">
        <v>152</v>
      </c>
      <c r="S4" s="80">
        <v>4423</v>
      </c>
      <c r="T4" s="56">
        <f>Historicals!J26</f>
        <v>3234</v>
      </c>
      <c r="U4" s="56">
        <f t="shared" ref="U4:U24" si="1">T4-S4</f>
        <v>-1189</v>
      </c>
    </row>
    <row r="5" spans="1:21" x14ac:dyDescent="0.35">
      <c r="A5" s="1" t="s">
        <v>129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8333.862146776255</v>
      </c>
      <c r="K5" s="9">
        <f>'Segmental forecast'!K5</f>
        <v>9295.3036424229431</v>
      </c>
      <c r="L5" s="9">
        <f>'Segmental forecast'!L5</f>
        <v>10506.365089327977</v>
      </c>
      <c r="M5" s="9">
        <f>'Segmental forecast'!M5</f>
        <v>12027.820240230596</v>
      </c>
      <c r="N5" s="9">
        <f>'Segmental forecast'!N5</f>
        <v>13934.954580390924</v>
      </c>
      <c r="O5" s="89"/>
      <c r="R5" t="s">
        <v>153</v>
      </c>
      <c r="S5" s="3">
        <v>9794.3812998401372</v>
      </c>
      <c r="T5" s="56">
        <f>Historicals!J28+Historicals!J27-Historicals!J41</f>
        <v>9723</v>
      </c>
      <c r="U5" s="56">
        <f t="shared" si="1"/>
        <v>-71.381299840137217</v>
      </c>
    </row>
    <row r="6" spans="1:21" x14ac:dyDescent="0.35">
      <c r="A6" s="44" t="s">
        <v>131</v>
      </c>
      <c r="B6" s="45">
        <f>'Segmental forecast'!B8</f>
        <v>606</v>
      </c>
      <c r="C6" s="45">
        <f>'Segmental forecast'!C8</f>
        <v>649</v>
      </c>
      <c r="D6" s="45">
        <f>'Segmental forecast'!D8</f>
        <v>706</v>
      </c>
      <c r="E6" s="45">
        <f>'Segmental forecast'!E8</f>
        <v>747</v>
      </c>
      <c r="F6" s="45">
        <f>'Segmental forecast'!F8</f>
        <v>705</v>
      </c>
      <c r="G6" s="45">
        <f>'Segmental forecast'!G8</f>
        <v>721</v>
      </c>
      <c r="H6" s="45">
        <f>'Segmental forecast'!H8</f>
        <v>744</v>
      </c>
      <c r="I6" s="45">
        <f>'Segmental forecast'!I8</f>
        <v>717</v>
      </c>
      <c r="J6" s="45">
        <f>'Segmental forecast'!J8</f>
        <v>743.70908538052549</v>
      </c>
      <c r="K6" s="45">
        <f>'Segmental forecast'!K8</f>
        <v>772.60648735436496</v>
      </c>
      <c r="L6" s="45">
        <f>'Segmental forecast'!L8</f>
        <v>803.85460035546657</v>
      </c>
      <c r="M6" s="45">
        <f>'Segmental forecast'!M8</f>
        <v>837.6287125521884</v>
      </c>
      <c r="N6" s="45">
        <f>'Segmental forecast'!N8</f>
        <v>874.11805250243083</v>
      </c>
      <c r="O6" s="89"/>
      <c r="R6" t="s">
        <v>155</v>
      </c>
      <c r="S6" s="80">
        <v>2129</v>
      </c>
      <c r="T6" s="56">
        <f>Historicals!J29</f>
        <v>1942</v>
      </c>
      <c r="U6" s="56">
        <f t="shared" si="1"/>
        <v>-187</v>
      </c>
    </row>
    <row r="7" spans="1:21" x14ac:dyDescent="0.35">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7590.1530613957293</v>
      </c>
      <c r="K7" s="5">
        <f>'Segmental forecast'!K11</f>
        <v>8522.6971550685776</v>
      </c>
      <c r="L7" s="5">
        <f>'Segmental forecast'!L11</f>
        <v>9702.5104889725117</v>
      </c>
      <c r="M7" s="5">
        <f>'Segmental forecast'!M11</f>
        <v>11190.191527678408</v>
      </c>
      <c r="N7" s="5">
        <f>'Segmental forecast'!N11</f>
        <v>13060.836527888494</v>
      </c>
      <c r="O7" s="89"/>
      <c r="R7" t="s">
        <v>156</v>
      </c>
      <c r="S7" s="56">
        <v>4842.4783894140219</v>
      </c>
      <c r="T7" s="56">
        <f>Historicals!J31</f>
        <v>5081</v>
      </c>
      <c r="U7" s="56">
        <f t="shared" si="1"/>
        <v>238.52161058597812</v>
      </c>
    </row>
    <row r="8" spans="1:21" x14ac:dyDescent="0.35">
      <c r="A8" s="35" t="s">
        <v>128</v>
      </c>
      <c r="B8" s="43" t="str">
        <f>'Segmental forecast'!B12</f>
        <v>nm</v>
      </c>
      <c r="C8" s="43">
        <f>'Segmental forecast'!C12</f>
        <v>9.6621781242617555E-2</v>
      </c>
      <c r="D8" s="43">
        <f>'Segmental forecast'!D12</f>
        <v>6.5273588970271357E-2</v>
      </c>
      <c r="E8" s="43">
        <f>'Segmental forecast'!E12</f>
        <v>-0.11445904954499497</v>
      </c>
      <c r="F8" s="43">
        <f>'Segmental forecast'!F12</f>
        <v>0.10755880337976698</v>
      </c>
      <c r="G8" s="43">
        <f>'Segmental forecast'!G12</f>
        <v>-0.38639175257731961</v>
      </c>
      <c r="H8" s="43">
        <f>'Segmental forecast'!H12</f>
        <v>1.32627688172043</v>
      </c>
      <c r="I8" s="43">
        <f>'Segmental forecast'!I12</f>
        <v>-9.67788530983682E-3</v>
      </c>
      <c r="J8" s="43">
        <f>'Segmental forecast'!J12</f>
        <v>0.10708183509272606</v>
      </c>
      <c r="K8" s="43">
        <f>'Segmental forecast'!K12</f>
        <v>0.12286235681014923</v>
      </c>
      <c r="L8" s="43">
        <f>'Segmental forecast'!L12</f>
        <v>0.13843192036951368</v>
      </c>
      <c r="M8" s="43">
        <f>'Segmental forecast'!M12</f>
        <v>0.15332949553589614</v>
      </c>
      <c r="N8" s="43">
        <f>'Segmental forecast'!N12</f>
        <v>0.16716827371391596</v>
      </c>
      <c r="O8" s="89"/>
      <c r="R8" t="s">
        <v>157</v>
      </c>
      <c r="S8" s="3">
        <v>280.25</v>
      </c>
      <c r="T8" s="56">
        <f>Historicals!J33</f>
        <v>274</v>
      </c>
      <c r="U8" s="56">
        <f t="shared" si="1"/>
        <v>-6.25</v>
      </c>
    </row>
    <row r="9" spans="1:21" x14ac:dyDescent="0.35">
      <c r="A9" s="35" t="s">
        <v>130</v>
      </c>
      <c r="B9" s="43">
        <f>'Segmental forecast'!B13</f>
        <v>0.13832881278389594</v>
      </c>
      <c r="C9" s="43">
        <f>'Segmental forecast'!C13</f>
        <v>0.14337781072399308</v>
      </c>
      <c r="D9" s="43">
        <f>'Segmental forecast'!D13</f>
        <v>0.14395924308588065</v>
      </c>
      <c r="E9" s="43">
        <f>'Segmental forecast'!E13</f>
        <v>0.12031211363573921</v>
      </c>
      <c r="F9" s="43">
        <f>'Segmental forecast'!F13</f>
        <v>0.12398701331901731</v>
      </c>
      <c r="G9" s="43">
        <f>'Segmental forecast'!G13</f>
        <v>7.9565810229126011E-2</v>
      </c>
      <c r="H9" s="43">
        <f>'Segmental forecast'!H13</f>
        <v>0.1554402981723472</v>
      </c>
      <c r="I9" s="43">
        <f>'Segmental forecast'!I13</f>
        <v>0.14677799186469706</v>
      </c>
      <c r="J9" s="43">
        <f>'Segmental forecast'!J13</f>
        <v>0.14835761370150907</v>
      </c>
      <c r="K9" s="43">
        <f>'Segmental forecast'!K13</f>
        <v>0.15178545950538588</v>
      </c>
      <c r="L9" s="43">
        <f>'Segmental forecast'!L13</f>
        <v>0.157129938428651</v>
      </c>
      <c r="M9" s="43">
        <f>'Segmental forecast'!M13</f>
        <v>0.16446173668278791</v>
      </c>
      <c r="N9" s="43">
        <f>'Segmental forecast'!N13</f>
        <v>0.17385397055234186</v>
      </c>
      <c r="O9" s="89"/>
      <c r="R9" t="s">
        <v>40</v>
      </c>
      <c r="S9" s="80">
        <v>284</v>
      </c>
      <c r="T9" s="56">
        <f>Historicals!J34</f>
        <v>281</v>
      </c>
      <c r="U9" s="56">
        <f t="shared" si="1"/>
        <v>-3</v>
      </c>
    </row>
    <row r="10" spans="1:21" x14ac:dyDescent="0.35">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J37*J11</f>
        <v>110.28890973537135</v>
      </c>
      <c r="K10" s="3">
        <f t="shared" ref="K10:N10" si="2">K37*K11</f>
        <v>110.28890973537135</v>
      </c>
      <c r="L10" s="3">
        <f t="shared" si="2"/>
        <v>110.28890973537135</v>
      </c>
      <c r="M10" s="3">
        <f t="shared" si="2"/>
        <v>110.28890973537135</v>
      </c>
      <c r="N10" s="3">
        <f t="shared" si="2"/>
        <v>110.28890973537135</v>
      </c>
      <c r="O10" s="82"/>
      <c r="R10" s="51" t="s">
        <v>38</v>
      </c>
      <c r="S10" s="80">
        <v>2926</v>
      </c>
      <c r="T10" s="56">
        <f>Historicals!J32</f>
        <v>2923</v>
      </c>
      <c r="U10" s="56">
        <f t="shared" si="1"/>
        <v>-3</v>
      </c>
    </row>
    <row r="11" spans="1:21" x14ac:dyDescent="0.35">
      <c r="A11" s="35" t="s">
        <v>249</v>
      </c>
      <c r="B11" s="43">
        <f>B10/B37</f>
        <v>6.965174129353234E-3</v>
      </c>
      <c r="C11" s="43">
        <f t="shared" ref="C11:H11" si="3">C10/C37</f>
        <v>6.0858424087123636E-3</v>
      </c>
      <c r="D11" s="43">
        <f t="shared" si="3"/>
        <v>1.9063004846526656E-2</v>
      </c>
      <c r="E11" s="43">
        <f t="shared" si="3"/>
        <v>1.5794091839719217E-2</v>
      </c>
      <c r="F11" s="43">
        <f t="shared" si="3"/>
        <v>9.3529299484634478E-3</v>
      </c>
      <c r="G11" s="43">
        <f t="shared" si="3"/>
        <v>1.5384615384615385E-2</v>
      </c>
      <c r="H11" s="43">
        <f t="shared" si="3"/>
        <v>3.8326506729081333E-2</v>
      </c>
      <c r="I11" s="43">
        <f>I10/I37</f>
        <v>2.9874672107257361E-2</v>
      </c>
      <c r="J11" s="43">
        <f>AVERAGE(B11,D11,E11,F11,G11,I11)</f>
        <v>1.6072414709322552E-2</v>
      </c>
      <c r="K11" s="43">
        <f>J11</f>
        <v>1.6072414709322552E-2</v>
      </c>
      <c r="L11" s="43">
        <f t="shared" ref="L11:N11" si="4">K11</f>
        <v>1.6072414709322552E-2</v>
      </c>
      <c r="M11" s="43">
        <f t="shared" si="4"/>
        <v>1.6072414709322552E-2</v>
      </c>
      <c r="N11" s="43">
        <f t="shared" si="4"/>
        <v>1.6072414709322552E-2</v>
      </c>
      <c r="O11" s="83" t="s">
        <v>247</v>
      </c>
      <c r="R11" t="s">
        <v>158</v>
      </c>
      <c r="S11" s="80">
        <v>3821</v>
      </c>
      <c r="T11" s="56">
        <f>Historicals!J35</f>
        <v>3770</v>
      </c>
      <c r="U11" s="56">
        <f t="shared" si="1"/>
        <v>-51</v>
      </c>
    </row>
    <row r="12" spans="1:21" ht="15" thickBot="1" x14ac:dyDescent="0.4">
      <c r="A12" s="4" t="s">
        <v>143</v>
      </c>
      <c r="B12" s="5">
        <f>B7-B10</f>
        <v>4205</v>
      </c>
      <c r="C12" s="5">
        <f t="shared" ref="C12:I12" si="5">C7-C10</f>
        <v>4623</v>
      </c>
      <c r="D12" s="5">
        <f t="shared" si="5"/>
        <v>4886</v>
      </c>
      <c r="E12" s="5">
        <f t="shared" si="5"/>
        <v>4325</v>
      </c>
      <c r="F12" s="5">
        <f t="shared" si="5"/>
        <v>4801</v>
      </c>
      <c r="G12" s="5">
        <f t="shared" si="5"/>
        <v>2887</v>
      </c>
      <c r="H12" s="5">
        <f t="shared" si="5"/>
        <v>6661</v>
      </c>
      <c r="I12" s="5">
        <f t="shared" si="5"/>
        <v>6651</v>
      </c>
      <c r="J12" s="5">
        <f>J7-J10</f>
        <v>7479.8641516603584</v>
      </c>
      <c r="K12" s="5">
        <f t="shared" ref="K12" si="6">K7-K10</f>
        <v>8412.4082453332067</v>
      </c>
      <c r="L12" s="5">
        <f t="shared" ref="L12" si="7">L7-L10</f>
        <v>9592.2215792371408</v>
      </c>
      <c r="M12" s="5">
        <f t="shared" ref="M12" si="8">M7-M10</f>
        <v>11079.902617943037</v>
      </c>
      <c r="N12" s="5">
        <f>N7-N10</f>
        <v>12950.547618153123</v>
      </c>
      <c r="O12" s="82"/>
      <c r="R12" s="6" t="s">
        <v>159</v>
      </c>
      <c r="S12" s="7">
        <f>J33</f>
        <v>38065.174821420303</v>
      </c>
      <c r="T12" s="58">
        <f>SUM(T3:T11)</f>
        <v>34669</v>
      </c>
      <c r="U12" s="58">
        <f t="shared" si="1"/>
        <v>-3396.1748214203035</v>
      </c>
    </row>
    <row r="13" spans="1:21" ht="15" thickTop="1" x14ac:dyDescent="0.35">
      <c r="A13" t="s">
        <v>26</v>
      </c>
      <c r="B13" s="3">
        <f>Historicals!B11</f>
        <v>932</v>
      </c>
      <c r="C13" s="3">
        <f>Historicals!C11</f>
        <v>863</v>
      </c>
      <c r="D13" s="3">
        <f>Historicals!D11</f>
        <v>646</v>
      </c>
      <c r="E13" s="3">
        <f>Historicals!E11</f>
        <v>2392</v>
      </c>
      <c r="F13" s="3">
        <f>Historicals!F11</f>
        <v>772</v>
      </c>
      <c r="G13" s="3">
        <f>Historicals!G11</f>
        <v>348</v>
      </c>
      <c r="H13" s="3">
        <f>Historicals!H11</f>
        <v>934</v>
      </c>
      <c r="I13" s="3">
        <f>Historicals!I11</f>
        <v>605</v>
      </c>
      <c r="J13" s="3">
        <f>J12*J14</f>
        <v>1199.3838576245087</v>
      </c>
      <c r="K13" s="3">
        <f t="shared" ref="K13:M13" si="9">K12*K14</f>
        <v>1348.9157621880449</v>
      </c>
      <c r="L13" s="3">
        <f t="shared" si="9"/>
        <v>1538.0968808558785</v>
      </c>
      <c r="M13" s="3">
        <f t="shared" si="9"/>
        <v>1776.6440772941774</v>
      </c>
      <c r="N13" s="3">
        <f>N12*N14</f>
        <v>2076.5989121824477</v>
      </c>
      <c r="O13" s="90" t="s">
        <v>247</v>
      </c>
      <c r="R13" t="s">
        <v>160</v>
      </c>
      <c r="S13" s="86">
        <v>10</v>
      </c>
      <c r="T13" s="55">
        <f>SUM(T14+T15)</f>
        <v>6</v>
      </c>
      <c r="U13" s="55">
        <f t="shared" si="1"/>
        <v>-4</v>
      </c>
    </row>
    <row r="14" spans="1:21" x14ac:dyDescent="0.35">
      <c r="A14" s="46" t="s">
        <v>144</v>
      </c>
      <c r="B14" s="47">
        <f>B13/B12</f>
        <v>0.22164090368608799</v>
      </c>
      <c r="C14" s="47">
        <f t="shared" ref="C14:I14" si="10">C13/C12</f>
        <v>0.18667531905688947</v>
      </c>
      <c r="D14" s="47">
        <f t="shared" si="10"/>
        <v>0.13221449038067951</v>
      </c>
      <c r="E14" s="47">
        <f t="shared" si="10"/>
        <v>0.55306358381502885</v>
      </c>
      <c r="F14" s="47">
        <f t="shared" si="10"/>
        <v>0.16079983336804832</v>
      </c>
      <c r="G14" s="47">
        <f t="shared" si="10"/>
        <v>0.12054035330793211</v>
      </c>
      <c r="H14" s="47">
        <f t="shared" si="10"/>
        <v>0.14021918630836211</v>
      </c>
      <c r="I14" s="47">
        <f t="shared" si="10"/>
        <v>9.0963764847391368E-2</v>
      </c>
      <c r="J14" s="48">
        <f>AVERAGE(B14,C14,D14,F14,G14,H14)</f>
        <v>0.16034834768466658</v>
      </c>
      <c r="K14" s="48">
        <f>J14</f>
        <v>0.16034834768466658</v>
      </c>
      <c r="L14" s="48">
        <f t="shared" ref="L14:N14" si="11">K14</f>
        <v>0.16034834768466658</v>
      </c>
      <c r="M14" s="48">
        <f t="shared" si="11"/>
        <v>0.16034834768466658</v>
      </c>
      <c r="N14" s="48">
        <f t="shared" si="11"/>
        <v>0.16034834768466658</v>
      </c>
      <c r="O14" s="90"/>
      <c r="R14" s="2" t="s">
        <v>45</v>
      </c>
      <c r="S14" s="80">
        <v>0</v>
      </c>
      <c r="T14" s="56">
        <f>Historicals!J39</f>
        <v>0</v>
      </c>
      <c r="U14" s="56">
        <f t="shared" si="1"/>
        <v>0</v>
      </c>
    </row>
    <row r="15" spans="1:21" ht="15" thickBot="1" x14ac:dyDescent="0.4">
      <c r="A15" s="6" t="s">
        <v>145</v>
      </c>
      <c r="B15" s="7">
        <f>B12-B13</f>
        <v>3273</v>
      </c>
      <c r="C15" s="7">
        <f t="shared" ref="C15:H15" si="12">C12-C13</f>
        <v>3760</v>
      </c>
      <c r="D15" s="7">
        <f t="shared" si="12"/>
        <v>4240</v>
      </c>
      <c r="E15" s="7">
        <f t="shared" si="12"/>
        <v>1933</v>
      </c>
      <c r="F15" s="7">
        <f t="shared" si="12"/>
        <v>4029</v>
      </c>
      <c r="G15" s="7">
        <f t="shared" si="12"/>
        <v>2539</v>
      </c>
      <c r="H15" s="7">
        <f t="shared" si="12"/>
        <v>5727</v>
      </c>
      <c r="I15" s="7">
        <f>I12-I13</f>
        <v>6046</v>
      </c>
      <c r="J15" s="7">
        <f>J12-J13</f>
        <v>6280.4802940358495</v>
      </c>
      <c r="K15" s="7">
        <f t="shared" ref="K15:N15" si="13">K12-K13</f>
        <v>7063.4924831451617</v>
      </c>
      <c r="L15" s="7">
        <f t="shared" si="13"/>
        <v>8054.1246983812625</v>
      </c>
      <c r="M15" s="7">
        <f t="shared" si="13"/>
        <v>9303.2585406488597</v>
      </c>
      <c r="N15" s="7">
        <f t="shared" si="13"/>
        <v>10873.948705970675</v>
      </c>
      <c r="O15" s="82"/>
      <c r="R15" s="2" t="s">
        <v>46</v>
      </c>
      <c r="S15" s="80">
        <v>10</v>
      </c>
      <c r="T15" s="56">
        <f>Historicals!J40</f>
        <v>6</v>
      </c>
      <c r="U15" s="56">
        <f t="shared" si="1"/>
        <v>-4</v>
      </c>
    </row>
    <row r="16" spans="1:21" ht="15" thickTop="1" x14ac:dyDescent="0.35">
      <c r="A16" t="s">
        <v>146</v>
      </c>
      <c r="B16" s="3">
        <f>Historicals!B18</f>
        <v>1768.8</v>
      </c>
      <c r="C16" s="3">
        <f>Historicals!C18</f>
        <v>1742.5</v>
      </c>
      <c r="D16" s="3">
        <f>Historicals!D18</f>
        <v>1692</v>
      </c>
      <c r="E16" s="3">
        <f>Historicals!E18</f>
        <v>1659.1</v>
      </c>
      <c r="F16" s="3">
        <f>Historicals!F18</f>
        <v>1618.4</v>
      </c>
      <c r="G16" s="3">
        <f>Historicals!G18</f>
        <v>1591.6</v>
      </c>
      <c r="H16" s="3">
        <f>Historicals!H18</f>
        <v>1609.4</v>
      </c>
      <c r="I16" s="3">
        <f>Historicals!I18</f>
        <v>1610.8</v>
      </c>
      <c r="J16" s="3">
        <f>I16+(J66/105)</f>
        <v>1583.5333333333333</v>
      </c>
      <c r="K16" s="3">
        <f>J16+(K66/105)</f>
        <v>1540.6761904761904</v>
      </c>
      <c r="L16" s="3">
        <f>K16+(L66/105)</f>
        <v>1497.8190476190475</v>
      </c>
      <c r="M16" s="3">
        <f>L16+(M66/105)</f>
        <v>1454.9619047619046</v>
      </c>
      <c r="N16" s="3">
        <f>M16+(N66/105)</f>
        <v>1412.1047619047617</v>
      </c>
      <c r="O16" s="83" t="s">
        <v>261</v>
      </c>
      <c r="R16" t="s">
        <v>161</v>
      </c>
      <c r="S16" s="80">
        <v>6862</v>
      </c>
      <c r="T16" s="55">
        <f>SUM(Historicals!J42:J44)</f>
        <v>6388</v>
      </c>
      <c r="U16" s="55">
        <f t="shared" si="1"/>
        <v>-474</v>
      </c>
    </row>
    <row r="17" spans="1:21" x14ac:dyDescent="0.35">
      <c r="A17" t="s">
        <v>147</v>
      </c>
      <c r="B17" s="49">
        <f>B15/B16</f>
        <v>1.8504070556309362</v>
      </c>
      <c r="C17" s="49">
        <f t="shared" ref="C17:I17" si="14">C15/C16</f>
        <v>2.1578192252510759</v>
      </c>
      <c r="D17" s="49">
        <f t="shared" si="14"/>
        <v>2.5059101654846336</v>
      </c>
      <c r="E17" s="49">
        <f t="shared" si="14"/>
        <v>1.1650895063588693</v>
      </c>
      <c r="F17" s="49">
        <f t="shared" si="14"/>
        <v>2.4894957983193278</v>
      </c>
      <c r="G17" s="49">
        <f t="shared" si="14"/>
        <v>1.5952500628298569</v>
      </c>
      <c r="H17" s="49">
        <f t="shared" si="14"/>
        <v>3.5584689946563937</v>
      </c>
      <c r="I17" s="49">
        <f t="shared" si="14"/>
        <v>3.7534144524459898</v>
      </c>
      <c r="J17" s="49">
        <f>J15/J16</f>
        <v>3.9661181497300442</v>
      </c>
      <c r="K17" s="49">
        <f t="shared" ref="K17:N17" si="15">K15/K16</f>
        <v>4.584670371885208</v>
      </c>
      <c r="L17" s="49">
        <f t="shared" si="15"/>
        <v>5.3772347942725141</v>
      </c>
      <c r="M17" s="49">
        <f t="shared" si="15"/>
        <v>6.3941595379236267</v>
      </c>
      <c r="N17" s="49">
        <f t="shared" si="15"/>
        <v>7.7005254845986135</v>
      </c>
      <c r="O17" s="83"/>
      <c r="R17" t="s">
        <v>49</v>
      </c>
      <c r="S17" s="80">
        <v>8920</v>
      </c>
      <c r="T17" s="56">
        <f>Historicals!J46</f>
        <v>8927</v>
      </c>
      <c r="U17" s="56">
        <f t="shared" si="1"/>
        <v>7</v>
      </c>
    </row>
    <row r="18" spans="1:21" x14ac:dyDescent="0.35">
      <c r="A18" t="s">
        <v>148</v>
      </c>
      <c r="B18" s="49">
        <f>-Historicals!B92/'Three Statements'!B16</f>
        <v>0.508254183627318</v>
      </c>
      <c r="C18" s="49">
        <f>-Historicals!C92/'Three Statements'!C16</f>
        <v>0.58651362984218081</v>
      </c>
      <c r="D18" s="49">
        <f>-Historicals!D92/'Three Statements'!D16</f>
        <v>0.66962174940898345</v>
      </c>
      <c r="E18" s="49">
        <f>-Historicals!E92/'Three Statements'!E16</f>
        <v>0.74920137423904531</v>
      </c>
      <c r="F18" s="49">
        <f>-Historicals!F92/'Three Statements'!F16</f>
        <v>0.82303509639149774</v>
      </c>
      <c r="G18" s="49">
        <f>-Historicals!G92/'Three Statements'!G16</f>
        <v>0.91228951997989449</v>
      </c>
      <c r="H18" s="49">
        <f>-Historicals!H92/'Three Statements'!H16</f>
        <v>1.0177705977382876</v>
      </c>
      <c r="I18" s="49">
        <f>-Historicals!I92/'Three Statements'!I16</f>
        <v>1.1404271169605165</v>
      </c>
      <c r="J18" s="49">
        <f>J15*J20/J16</f>
        <v>1.1463079868157096</v>
      </c>
      <c r="K18" s="49">
        <f t="shared" ref="K18:N18" si="16">K15*K20/K16</f>
        <v>1.3250851502159808</v>
      </c>
      <c r="L18" s="49">
        <f t="shared" si="16"/>
        <v>1.5541562200000185</v>
      </c>
      <c r="M18" s="49">
        <f t="shared" si="16"/>
        <v>1.848073070590345</v>
      </c>
      <c r="N18" s="49">
        <f t="shared" si="16"/>
        <v>2.2256457151368849</v>
      </c>
      <c r="O18" s="83" t="s">
        <v>251</v>
      </c>
      <c r="R18" s="51" t="s">
        <v>50</v>
      </c>
      <c r="S18" s="80">
        <v>2777</v>
      </c>
      <c r="T18" s="56">
        <f>Historicals!J47</f>
        <v>2786</v>
      </c>
      <c r="U18" s="56">
        <f t="shared" si="1"/>
        <v>9</v>
      </c>
    </row>
    <row r="19" spans="1:21" x14ac:dyDescent="0.35">
      <c r="A19" s="46" t="s">
        <v>128</v>
      </c>
      <c r="B19" s="40" t="str">
        <f>+IFERROR(B17/A17-1,"nm")</f>
        <v>nm</v>
      </c>
      <c r="C19" s="40">
        <f t="shared" ref="C19:I19" si="17">+IFERROR(C17/B17-1,"nm")</f>
        <v>0.1661321862585099</v>
      </c>
      <c r="D19" s="40">
        <f t="shared" si="17"/>
        <v>0.16131608068004644</v>
      </c>
      <c r="E19" s="40">
        <f t="shared" si="17"/>
        <v>-0.53506333850018706</v>
      </c>
      <c r="F19" s="40">
        <f t="shared" si="17"/>
        <v>1.1367420998404536</v>
      </c>
      <c r="G19" s="40">
        <f t="shared" si="17"/>
        <v>-0.35920756969872414</v>
      </c>
      <c r="H19" s="40">
        <f t="shared" si="17"/>
        <v>1.2306653217389192</v>
      </c>
      <c r="I19" s="40">
        <f t="shared" si="17"/>
        <v>5.478352012686849E-2</v>
      </c>
      <c r="J19" s="43">
        <f t="shared" ref="J19" si="18">+IFERROR(J17/I17-1,"nm")</f>
        <v>5.6669387294931317E-2</v>
      </c>
      <c r="K19" s="43">
        <f>+IFERROR(K17/J17-1,"nm")</f>
        <v>0.15595910126814205</v>
      </c>
      <c r="L19" s="43">
        <f t="shared" ref="L19" si="19">+IFERROR(L17/K17-1,"nm")</f>
        <v>0.17287271670556437</v>
      </c>
      <c r="M19" s="43">
        <f t="shared" ref="M19" si="20">+IFERROR(M17/L17-1,"nm")</f>
        <v>0.18911667103215879</v>
      </c>
      <c r="N19" s="43">
        <f t="shared" ref="N19" si="21">+IFERROR(N17/M17-1,"nm")</f>
        <v>0.20430612325622421</v>
      </c>
      <c r="O19" s="82"/>
      <c r="R19" t="s">
        <v>162</v>
      </c>
      <c r="S19" s="80">
        <v>2613</v>
      </c>
      <c r="T19" s="56">
        <f>Historicals!J48</f>
        <v>2558</v>
      </c>
      <c r="U19" s="56">
        <f t="shared" si="1"/>
        <v>-55</v>
      </c>
    </row>
    <row r="20" spans="1:21" x14ac:dyDescent="0.35">
      <c r="A20" s="46" t="s">
        <v>149</v>
      </c>
      <c r="B20" s="47">
        <f>-Historicals!B92/B15</f>
        <v>0.27467155514818209</v>
      </c>
      <c r="C20" s="47">
        <f>-Historicals!C92/C15</f>
        <v>0.27180851063829786</v>
      </c>
      <c r="D20" s="47">
        <f>-Historicals!D92/D15</f>
        <v>0.26721698113207548</v>
      </c>
      <c r="E20" s="47">
        <f>-Historicals!E92/E15</f>
        <v>0.64304190377651316</v>
      </c>
      <c r="F20" s="47">
        <f>-Historicals!F92/F15</f>
        <v>0.33060312732688013</v>
      </c>
      <c r="G20" s="47">
        <f>-Historicals!G92/G15</f>
        <v>0.57187869239858213</v>
      </c>
      <c r="H20" s="47">
        <f>-Historicals!H92/H15</f>
        <v>0.286013619696176</v>
      </c>
      <c r="I20" s="47">
        <f>-Historicals!I92/I15</f>
        <v>0.30383724776711873</v>
      </c>
      <c r="J20" s="48">
        <f>AVERAGE(B20,D20,H20,F20,C20,I20)</f>
        <v>0.28902517361812169</v>
      </c>
      <c r="K20" s="48">
        <f>J20</f>
        <v>0.28902517361812169</v>
      </c>
      <c r="L20" s="48">
        <f t="shared" ref="L20:N20" si="22">K20</f>
        <v>0.28902517361812169</v>
      </c>
      <c r="M20" s="48">
        <f t="shared" si="22"/>
        <v>0.28902517361812169</v>
      </c>
      <c r="N20" s="48">
        <f t="shared" si="22"/>
        <v>0.28902517361812169</v>
      </c>
      <c r="O20" s="83" t="s">
        <v>262</v>
      </c>
      <c r="R20" t="s">
        <v>163</v>
      </c>
      <c r="S20" s="9">
        <v>16270.263386646946</v>
      </c>
      <c r="T20" s="55">
        <f>SUM(T21:T23)</f>
        <v>14004</v>
      </c>
      <c r="U20" s="55">
        <f t="shared" si="1"/>
        <v>-2266.2633866469459</v>
      </c>
    </row>
    <row r="21" spans="1:21" x14ac:dyDescent="0.35">
      <c r="A21" s="50" t="s">
        <v>150</v>
      </c>
      <c r="B21" s="33"/>
      <c r="C21" s="33"/>
      <c r="D21" s="33"/>
      <c r="E21" s="33"/>
      <c r="F21" s="33"/>
      <c r="G21" s="33"/>
      <c r="H21" s="33"/>
      <c r="I21" s="33"/>
      <c r="J21" s="33"/>
      <c r="K21" s="33"/>
      <c r="L21" s="33"/>
      <c r="M21" s="33"/>
      <c r="N21" s="33"/>
      <c r="O21" s="82"/>
      <c r="R21" s="2" t="s">
        <v>164</v>
      </c>
      <c r="S21" s="80">
        <v>3</v>
      </c>
      <c r="T21" s="56">
        <f>Historicals!J54</f>
        <v>3</v>
      </c>
      <c r="U21" s="56">
        <f t="shared" si="1"/>
        <v>0</v>
      </c>
    </row>
    <row r="22" spans="1:21" x14ac:dyDescent="0.35">
      <c r="A22" t="s">
        <v>151</v>
      </c>
      <c r="B22" s="3">
        <f t="shared" ref="B22:I22" si="23">B76</f>
        <v>3852</v>
      </c>
      <c r="C22" s="3">
        <f t="shared" si="23"/>
        <v>3138</v>
      </c>
      <c r="D22" s="3">
        <f t="shared" si="23"/>
        <v>3808</v>
      </c>
      <c r="E22" s="3">
        <f t="shared" si="23"/>
        <v>4249</v>
      </c>
      <c r="F22" s="3">
        <f t="shared" si="23"/>
        <v>4466</v>
      </c>
      <c r="G22" s="3">
        <f t="shared" si="23"/>
        <v>8348</v>
      </c>
      <c r="H22" s="3">
        <f t="shared" si="23"/>
        <v>9889</v>
      </c>
      <c r="I22" s="3">
        <f t="shared" si="23"/>
        <v>8574</v>
      </c>
      <c r="J22" s="3">
        <f>J76</f>
        <v>9456.0603799865312</v>
      </c>
      <c r="K22" s="3">
        <f t="shared" ref="K22:N22" si="24">K76</f>
        <v>8851.6928164965157</v>
      </c>
      <c r="L22" s="3">
        <f t="shared" si="24"/>
        <v>8795.2565650284341</v>
      </c>
      <c r="M22" s="3">
        <f t="shared" si="24"/>
        <v>9428.9999897453581</v>
      </c>
      <c r="N22" s="3">
        <f t="shared" si="24"/>
        <v>10925.443641213667</v>
      </c>
      <c r="O22" s="82"/>
      <c r="R22" s="2" t="s">
        <v>165</v>
      </c>
      <c r="S22" s="3">
        <v>4465.2633866469459</v>
      </c>
      <c r="T22" s="56">
        <f>Historicals!J57</f>
        <v>1358</v>
      </c>
      <c r="U22" s="56">
        <f t="shared" si="1"/>
        <v>-3107.2633866469459</v>
      </c>
    </row>
    <row r="23" spans="1:21" x14ac:dyDescent="0.35">
      <c r="A23" t="s">
        <v>152</v>
      </c>
      <c r="B23" s="56">
        <f>Historicals!B26</f>
        <v>2072</v>
      </c>
      <c r="C23" s="56">
        <f>Historicals!C26</f>
        <v>2319</v>
      </c>
      <c r="D23" s="56">
        <f>Historicals!D26</f>
        <v>2371</v>
      </c>
      <c r="E23" s="56">
        <f>Historicals!E26</f>
        <v>996</v>
      </c>
      <c r="F23" s="56">
        <f>Historicals!F26</f>
        <v>197</v>
      </c>
      <c r="G23" s="56">
        <f>Historicals!G26</f>
        <v>439</v>
      </c>
      <c r="H23" s="56">
        <f>Historicals!H26</f>
        <v>3587</v>
      </c>
      <c r="I23" s="56">
        <f>Historicals!I26</f>
        <v>4423</v>
      </c>
      <c r="J23" s="80">
        <f>I23</f>
        <v>4423</v>
      </c>
      <c r="K23" s="80">
        <f>J23</f>
        <v>4423</v>
      </c>
      <c r="L23" s="80">
        <f t="shared" ref="L23:N23" si="25">K23</f>
        <v>4423</v>
      </c>
      <c r="M23" s="80">
        <f t="shared" si="25"/>
        <v>4423</v>
      </c>
      <c r="N23" s="80">
        <f t="shared" si="25"/>
        <v>4423</v>
      </c>
      <c r="O23" s="81" t="s">
        <v>256</v>
      </c>
      <c r="R23" s="2" t="s">
        <v>166</v>
      </c>
      <c r="S23" s="80">
        <v>11802</v>
      </c>
      <c r="T23" s="56">
        <f>Historicals!J56+Historicals!J55</f>
        <v>12643</v>
      </c>
      <c r="U23" s="56">
        <f t="shared" si="1"/>
        <v>841</v>
      </c>
    </row>
    <row r="24" spans="1:21" ht="15" thickBot="1" x14ac:dyDescent="0.4">
      <c r="A24" t="s">
        <v>153</v>
      </c>
      <c r="B24" s="56">
        <f>Historicals!B28+Historicals!B27-Historicals!B41</f>
        <v>5564</v>
      </c>
      <c r="C24" s="56">
        <f>Historicals!C28+Historicals!C27-Historicals!C41</f>
        <v>5888</v>
      </c>
      <c r="D24" s="56">
        <f>Historicals!D28+Historicals!D27-Historicals!D41</f>
        <v>6684</v>
      </c>
      <c r="E24" s="56">
        <f>Historicals!E28+Historicals!E27-Historicals!E41</f>
        <v>6480</v>
      </c>
      <c r="F24" s="56">
        <f>Historicals!F28+Historicals!F27-Historicals!F41</f>
        <v>7282</v>
      </c>
      <c r="G24" s="56">
        <f>Historicals!G28+Historicals!G27-Historicals!G41</f>
        <v>7868</v>
      </c>
      <c r="H24" s="56">
        <f>Historicals!H28+Historicals!H27-Historicals!H41</f>
        <v>8481</v>
      </c>
      <c r="I24" s="56">
        <f>Historicals!I28+Historicals!I27-Historicals!I41</f>
        <v>9729</v>
      </c>
      <c r="J24" s="3">
        <f>J25*J3</f>
        <v>9794.3812998401372</v>
      </c>
      <c r="K24" s="3">
        <f t="shared" ref="K24:N24" si="26">K25*K3</f>
        <v>10749.374643014682</v>
      </c>
      <c r="L24" s="3">
        <f t="shared" si="26"/>
        <v>11821.198042250984</v>
      </c>
      <c r="M24" s="3">
        <f t="shared" si="26"/>
        <v>13025.936611875488</v>
      </c>
      <c r="N24" s="3">
        <f t="shared" si="26"/>
        <v>14382.112866455138</v>
      </c>
      <c r="O24" s="83" t="s">
        <v>253</v>
      </c>
      <c r="R24" s="6" t="s">
        <v>167</v>
      </c>
      <c r="S24" s="7">
        <f>S13+SUM(S16:S20)</f>
        <v>37452.263386646948</v>
      </c>
      <c r="T24" s="7">
        <f>T13+SUM(T16:T20)</f>
        <v>34669</v>
      </c>
      <c r="U24" s="7">
        <f t="shared" si="1"/>
        <v>-2783.2633866469478</v>
      </c>
    </row>
    <row r="25" spans="1:21" ht="15" thickTop="1" x14ac:dyDescent="0.35">
      <c r="A25" s="76" t="s">
        <v>154</v>
      </c>
      <c r="B25" s="77">
        <f t="shared" ref="B25:I25" si="27">B24/B3</f>
        <v>0.18182412339466031</v>
      </c>
      <c r="C25" s="77">
        <f t="shared" si="27"/>
        <v>0.1818631084754139</v>
      </c>
      <c r="D25" s="77">
        <f t="shared" si="27"/>
        <v>0.19458515283842795</v>
      </c>
      <c r="E25" s="77">
        <f t="shared" si="27"/>
        <v>0.17803665137236585</v>
      </c>
      <c r="F25" s="77">
        <f t="shared" si="27"/>
        <v>0.18615947030702765</v>
      </c>
      <c r="G25" s="77">
        <f t="shared" si="27"/>
        <v>0.21035745795791783</v>
      </c>
      <c r="H25" s="77">
        <f t="shared" si="27"/>
        <v>0.19042166240064665</v>
      </c>
      <c r="I25" s="77">
        <f t="shared" si="27"/>
        <v>0.20828516377649325</v>
      </c>
      <c r="J25" s="48">
        <f>AVERAGE(B25:I25)</f>
        <v>0.19144159881536918</v>
      </c>
      <c r="K25" s="48">
        <f>J25</f>
        <v>0.19144159881536918</v>
      </c>
      <c r="L25" s="48">
        <f t="shared" ref="L25:N25" si="28">K25</f>
        <v>0.19144159881536918</v>
      </c>
      <c r="M25" s="48">
        <f t="shared" si="28"/>
        <v>0.19144159881536918</v>
      </c>
      <c r="N25" s="48">
        <f t="shared" si="28"/>
        <v>0.19144159881536918</v>
      </c>
      <c r="O25" s="83" t="s">
        <v>258</v>
      </c>
    </row>
    <row r="26" spans="1:21" x14ac:dyDescent="0.35">
      <c r="A26" t="s">
        <v>155</v>
      </c>
      <c r="B26" s="56">
        <f>Historicals!B29</f>
        <v>1968</v>
      </c>
      <c r="C26" s="56">
        <f>Historicals!C29</f>
        <v>1489</v>
      </c>
      <c r="D26" s="56">
        <f>Historicals!D29</f>
        <v>1150</v>
      </c>
      <c r="E26" s="56">
        <f>Historicals!E29</f>
        <v>1130</v>
      </c>
      <c r="F26" s="56">
        <f>Historicals!F29</f>
        <v>1968</v>
      </c>
      <c r="G26" s="56">
        <f>Historicals!G29</f>
        <v>1653</v>
      </c>
      <c r="H26" s="56">
        <f>Historicals!H29</f>
        <v>1498</v>
      </c>
      <c r="I26" s="56">
        <f>Historicals!I29</f>
        <v>2129</v>
      </c>
      <c r="J26" s="80">
        <f>I26</f>
        <v>2129</v>
      </c>
      <c r="K26" s="80">
        <f>J26</f>
        <v>2129</v>
      </c>
      <c r="L26" s="80">
        <f t="shared" ref="L26:N26" si="29">K26</f>
        <v>2129</v>
      </c>
      <c r="M26" s="80">
        <f t="shared" si="29"/>
        <v>2129</v>
      </c>
      <c r="N26" s="80">
        <f t="shared" si="29"/>
        <v>2129</v>
      </c>
      <c r="O26" s="81" t="s">
        <v>256</v>
      </c>
    </row>
    <row r="27" spans="1:21" x14ac:dyDescent="0.35">
      <c r="A27" t="s">
        <v>156</v>
      </c>
      <c r="B27" s="56">
        <f>Historicals!B31</f>
        <v>3011</v>
      </c>
      <c r="C27" s="56">
        <f>Historicals!C31</f>
        <v>3520</v>
      </c>
      <c r="D27" s="56">
        <f>Historicals!D31</f>
        <v>3989</v>
      </c>
      <c r="E27" s="56">
        <f>Historicals!E31</f>
        <v>4454</v>
      </c>
      <c r="F27" s="56">
        <f>Historicals!F31</f>
        <v>4744</v>
      </c>
      <c r="G27" s="56">
        <f>Historicals!G31</f>
        <v>4866</v>
      </c>
      <c r="H27" s="56">
        <f>Historicals!H31</f>
        <v>4904</v>
      </c>
      <c r="I27" s="56">
        <f>Historicals!I31</f>
        <v>4791</v>
      </c>
      <c r="J27" s="56">
        <f>I27-J56-J6</f>
        <v>4842.4783894140219</v>
      </c>
      <c r="K27" s="56">
        <f t="shared" ref="K27:N27" si="30">J27-K56-K6</f>
        <v>4916.2246341770697</v>
      </c>
      <c r="L27" s="56">
        <f t="shared" si="30"/>
        <v>5029.5240780922095</v>
      </c>
      <c r="M27" s="56">
        <f t="shared" si="30"/>
        <v>5207.8313920680748</v>
      </c>
      <c r="N27" s="56">
        <f t="shared" si="30"/>
        <v>5488.7219619268108</v>
      </c>
      <c r="O27" s="83" t="s">
        <v>267</v>
      </c>
    </row>
    <row r="28" spans="1:21" x14ac:dyDescent="0.35">
      <c r="A28" t="s">
        <v>157</v>
      </c>
      <c r="B28" s="56">
        <f>Historicals!B33</f>
        <v>281</v>
      </c>
      <c r="C28" s="56">
        <f>Historicals!C33</f>
        <v>281</v>
      </c>
      <c r="D28" s="56">
        <f>Historicals!D33</f>
        <v>283</v>
      </c>
      <c r="E28" s="56">
        <f>Historicals!E33</f>
        <v>285</v>
      </c>
      <c r="F28" s="56">
        <f>Historicals!F33</f>
        <v>283</v>
      </c>
      <c r="G28" s="56">
        <f>Historicals!G33</f>
        <v>274</v>
      </c>
      <c r="H28" s="56">
        <f>Historicals!H33</f>
        <v>269</v>
      </c>
      <c r="I28" s="56">
        <f>Historicals!I33</f>
        <v>286</v>
      </c>
      <c r="J28" s="3">
        <f>AVERAGE(B28,C28,D28,E28,F28,G28,H28,I28)</f>
        <v>280.25</v>
      </c>
      <c r="K28" s="3">
        <f>J28</f>
        <v>280.25</v>
      </c>
      <c r="L28" s="3">
        <f t="shared" ref="L28:N29" si="31">K28</f>
        <v>280.25</v>
      </c>
      <c r="M28" s="3">
        <f t="shared" si="31"/>
        <v>280.25</v>
      </c>
      <c r="N28" s="3">
        <f t="shared" si="31"/>
        <v>280.25</v>
      </c>
      <c r="O28" s="84" t="s">
        <v>254</v>
      </c>
    </row>
    <row r="29" spans="1:21" x14ac:dyDescent="0.35">
      <c r="A29" t="s">
        <v>40</v>
      </c>
      <c r="B29" s="56">
        <f>Historicals!B34</f>
        <v>131</v>
      </c>
      <c r="C29" s="56">
        <f>Historicals!C34</f>
        <v>131</v>
      </c>
      <c r="D29" s="56">
        <f>Historicals!D34</f>
        <v>139</v>
      </c>
      <c r="E29" s="56">
        <f>Historicals!E34</f>
        <v>154</v>
      </c>
      <c r="F29" s="56">
        <f>Historicals!F34</f>
        <v>154</v>
      </c>
      <c r="G29" s="56">
        <f>Historicals!G34</f>
        <v>223</v>
      </c>
      <c r="H29" s="56">
        <f>Historicals!H34</f>
        <v>242</v>
      </c>
      <c r="I29" s="56">
        <f>Historicals!I34</f>
        <v>284</v>
      </c>
      <c r="J29" s="80">
        <f>I29</f>
        <v>284</v>
      </c>
      <c r="K29" s="80">
        <f>J29</f>
        <v>284</v>
      </c>
      <c r="L29" s="80">
        <f t="shared" si="31"/>
        <v>284</v>
      </c>
      <c r="M29" s="80">
        <f t="shared" si="31"/>
        <v>284</v>
      </c>
      <c r="N29" s="80">
        <f t="shared" si="31"/>
        <v>284</v>
      </c>
      <c r="O29" s="81" t="s">
        <v>256</v>
      </c>
    </row>
    <row r="30" spans="1:21" x14ac:dyDescent="0.35">
      <c r="A30" s="76" t="s">
        <v>255</v>
      </c>
      <c r="B30" s="47">
        <f>B29/B3</f>
        <v>4.2809058527499104E-3</v>
      </c>
      <c r="C30" s="47">
        <f t="shared" ref="C30:I30" si="32">C29/C3</f>
        <v>4.0462070669631828E-3</v>
      </c>
      <c r="D30" s="47">
        <f t="shared" si="32"/>
        <v>4.0465793304221252E-3</v>
      </c>
      <c r="E30" s="47">
        <f t="shared" si="32"/>
        <v>4.231117949281534E-3</v>
      </c>
      <c r="F30" s="47">
        <f t="shared" si="32"/>
        <v>3.936907227036838E-3</v>
      </c>
      <c r="G30" s="47">
        <f t="shared" si="32"/>
        <v>5.9620886025185142E-3</v>
      </c>
      <c r="H30" s="47">
        <f t="shared" si="32"/>
        <v>5.4335623512506174E-3</v>
      </c>
      <c r="I30" s="47">
        <f t="shared" si="32"/>
        <v>6.0800685078141728E-3</v>
      </c>
      <c r="J30" s="47">
        <f>AVERAGE(B30:I30)</f>
        <v>4.752179611004612E-3</v>
      </c>
      <c r="K30" s="47">
        <f>J30</f>
        <v>4.752179611004612E-3</v>
      </c>
      <c r="L30" s="47">
        <f t="shared" ref="L30:N30" si="33">K30</f>
        <v>4.752179611004612E-3</v>
      </c>
      <c r="M30" s="47">
        <f t="shared" si="33"/>
        <v>4.752179611004612E-3</v>
      </c>
      <c r="N30" s="47">
        <f t="shared" si="33"/>
        <v>4.752179611004612E-3</v>
      </c>
      <c r="O30" s="84"/>
    </row>
    <row r="31" spans="1:21" x14ac:dyDescent="0.35">
      <c r="A31" s="51" t="s">
        <v>38</v>
      </c>
      <c r="B31" s="56">
        <f>Historicals!B32</f>
        <v>0</v>
      </c>
      <c r="C31" s="56">
        <f>Historicals!C32</f>
        <v>0</v>
      </c>
      <c r="D31" s="56">
        <f>Historicals!D32</f>
        <v>0</v>
      </c>
      <c r="E31" s="56">
        <f>Historicals!E32</f>
        <v>0</v>
      </c>
      <c r="F31" s="56">
        <f>Historicals!F32</f>
        <v>0</v>
      </c>
      <c r="G31" s="56">
        <f>Historicals!G32</f>
        <v>3097</v>
      </c>
      <c r="H31" s="56">
        <f>Historicals!H32</f>
        <v>3113</v>
      </c>
      <c r="I31" s="56">
        <f>Historicals!I32</f>
        <v>2926</v>
      </c>
      <c r="J31" s="80">
        <f>I31</f>
        <v>2926</v>
      </c>
      <c r="K31" s="80">
        <f>J31</f>
        <v>2926</v>
      </c>
      <c r="L31" s="80">
        <f t="shared" ref="L31:N31" si="34">K31</f>
        <v>2926</v>
      </c>
      <c r="M31" s="80">
        <f t="shared" si="34"/>
        <v>2926</v>
      </c>
      <c r="N31" s="80">
        <f t="shared" si="34"/>
        <v>2926</v>
      </c>
      <c r="O31" s="81" t="s">
        <v>256</v>
      </c>
    </row>
    <row r="32" spans="1:21" x14ac:dyDescent="0.35">
      <c r="A32" t="s">
        <v>158</v>
      </c>
      <c r="B32" s="56">
        <f>Historicals!B35</f>
        <v>2587</v>
      </c>
      <c r="C32" s="56">
        <f>Historicals!C35</f>
        <v>2439</v>
      </c>
      <c r="D32" s="56">
        <f>Historicals!D35</f>
        <v>2787</v>
      </c>
      <c r="E32" s="56">
        <f>Historicals!E35</f>
        <v>2509</v>
      </c>
      <c r="F32" s="56">
        <f>Historicals!F35</f>
        <v>2011</v>
      </c>
      <c r="G32" s="56">
        <f>Historicals!G35</f>
        <v>2326</v>
      </c>
      <c r="H32" s="56">
        <f>Historicals!H35</f>
        <v>2921</v>
      </c>
      <c r="I32" s="56">
        <f>Historicals!I35</f>
        <v>3821</v>
      </c>
      <c r="J32" s="91">
        <f>I32+109</f>
        <v>3930</v>
      </c>
      <c r="K32" s="91">
        <f>J32+98</f>
        <v>4028</v>
      </c>
      <c r="L32" s="91">
        <f>K32+97</f>
        <v>4125</v>
      </c>
      <c r="M32" s="91">
        <f>L32+98</f>
        <v>4223</v>
      </c>
      <c r="N32" s="91">
        <f>M32+97</f>
        <v>4320</v>
      </c>
      <c r="O32" s="92" t="s">
        <v>266</v>
      </c>
    </row>
    <row r="33" spans="1:21" ht="15" thickBot="1" x14ac:dyDescent="0.4">
      <c r="A33" s="6" t="s">
        <v>159</v>
      </c>
      <c r="B33" s="7">
        <f t="shared" ref="B33:H33" si="35">SUM(B22:B24)+SUM(B26:B32)</f>
        <v>19466.004280905854</v>
      </c>
      <c r="C33" s="7">
        <f t="shared" si="35"/>
        <v>19205.004046207068</v>
      </c>
      <c r="D33" s="7">
        <f t="shared" si="35"/>
        <v>21211.004046579332</v>
      </c>
      <c r="E33" s="7">
        <f t="shared" si="35"/>
        <v>20257.00423111795</v>
      </c>
      <c r="F33" s="7">
        <f t="shared" si="35"/>
        <v>21105.003936907226</v>
      </c>
      <c r="G33" s="7">
        <f t="shared" si="35"/>
        <v>29094.005962088602</v>
      </c>
      <c r="H33" s="7">
        <f t="shared" si="35"/>
        <v>34904.00543356235</v>
      </c>
      <c r="I33" s="7">
        <f>SUM(I22:I24)+SUM(I26:I32)</f>
        <v>36963.00608006851</v>
      </c>
      <c r="J33" s="7">
        <f t="shared" ref="J33:N33" si="36">SUM(J22:J24)+SUM(J26:J32)</f>
        <v>38065.174821420303</v>
      </c>
      <c r="K33" s="7">
        <f t="shared" si="36"/>
        <v>38587.546845867881</v>
      </c>
      <c r="L33" s="7">
        <f t="shared" si="36"/>
        <v>39813.233437551244</v>
      </c>
      <c r="M33" s="7">
        <f t="shared" si="36"/>
        <v>41928.022745868526</v>
      </c>
      <c r="N33" s="7">
        <f t="shared" si="36"/>
        <v>45158.533221775229</v>
      </c>
      <c r="O33" s="1"/>
    </row>
    <row r="34" spans="1:21" ht="15" thickTop="1" x14ac:dyDescent="0.35">
      <c r="A34" t="s">
        <v>160</v>
      </c>
      <c r="B34" s="9">
        <f t="shared" ref="B34:H34" si="37">SUM(B35:B36)</f>
        <v>181</v>
      </c>
      <c r="C34" s="9">
        <f t="shared" si="37"/>
        <v>45</v>
      </c>
      <c r="D34" s="9">
        <f t="shared" si="37"/>
        <v>331</v>
      </c>
      <c r="E34" s="9">
        <f t="shared" si="37"/>
        <v>342</v>
      </c>
      <c r="F34" s="9">
        <f t="shared" si="37"/>
        <v>15</v>
      </c>
      <c r="G34" s="9">
        <f t="shared" si="37"/>
        <v>251</v>
      </c>
      <c r="H34" s="9">
        <f t="shared" si="37"/>
        <v>2</v>
      </c>
      <c r="I34" s="9">
        <f>SUM(I35:I36)</f>
        <v>510</v>
      </c>
      <c r="J34" s="86">
        <f>SUM(J35:J36)</f>
        <v>10</v>
      </c>
      <c r="K34" s="86">
        <f t="shared" ref="K34:N34" si="38">SUM(K35:K36)</f>
        <v>10</v>
      </c>
      <c r="L34" s="86">
        <f t="shared" si="38"/>
        <v>10</v>
      </c>
      <c r="M34" s="86">
        <f t="shared" si="38"/>
        <v>10</v>
      </c>
      <c r="N34" s="86">
        <f t="shared" si="38"/>
        <v>10</v>
      </c>
      <c r="O34" s="88" t="s">
        <v>256</v>
      </c>
    </row>
    <row r="35" spans="1:21" x14ac:dyDescent="0.35">
      <c r="A35" s="2" t="s">
        <v>45</v>
      </c>
      <c r="B35" s="3">
        <f>Historicals!B39</f>
        <v>107</v>
      </c>
      <c r="C35" s="3">
        <f>Historicals!C39</f>
        <v>44</v>
      </c>
      <c r="D35" s="3">
        <f>Historicals!D39</f>
        <v>6</v>
      </c>
      <c r="E35" s="3">
        <f>Historicals!E39</f>
        <v>6</v>
      </c>
      <c r="F35" s="3">
        <f>Historicals!F39</f>
        <v>6</v>
      </c>
      <c r="G35" s="3">
        <f>Historicals!G39</f>
        <v>3</v>
      </c>
      <c r="H35" s="3">
        <f>Historicals!H39</f>
        <v>0</v>
      </c>
      <c r="I35" s="3">
        <f>Historicals!I39</f>
        <v>500</v>
      </c>
      <c r="J35" s="80">
        <v>0</v>
      </c>
      <c r="K35" s="80">
        <f>J35</f>
        <v>0</v>
      </c>
      <c r="L35" s="80">
        <f t="shared" ref="L35:L36" si="39">K35</f>
        <v>0</v>
      </c>
      <c r="M35" s="80">
        <f t="shared" ref="M35:M36" si="40">L35</f>
        <v>0</v>
      </c>
      <c r="N35" s="80">
        <f t="shared" ref="N35:N36" si="41">M35</f>
        <v>0</v>
      </c>
      <c r="O35" s="88"/>
    </row>
    <row r="36" spans="1:21" x14ac:dyDescent="0.35">
      <c r="A36" s="2" t="s">
        <v>46</v>
      </c>
      <c r="B36" s="3">
        <f>Historicals!B40</f>
        <v>74</v>
      </c>
      <c r="C36" s="3">
        <f>Historicals!C40</f>
        <v>1</v>
      </c>
      <c r="D36" s="3">
        <f>Historicals!D40</f>
        <v>325</v>
      </c>
      <c r="E36" s="3">
        <f>Historicals!E40</f>
        <v>336</v>
      </c>
      <c r="F36" s="3">
        <f>Historicals!F40</f>
        <v>9</v>
      </c>
      <c r="G36" s="3">
        <f>Historicals!G40</f>
        <v>248</v>
      </c>
      <c r="H36" s="3">
        <f>Historicals!H40</f>
        <v>2</v>
      </c>
      <c r="I36" s="3">
        <f>Historicals!I40</f>
        <v>10</v>
      </c>
      <c r="J36" s="80">
        <f>I36</f>
        <v>10</v>
      </c>
      <c r="K36" s="80">
        <f>J36</f>
        <v>10</v>
      </c>
      <c r="L36" s="80">
        <f t="shared" si="39"/>
        <v>10</v>
      </c>
      <c r="M36" s="80">
        <f t="shared" si="40"/>
        <v>10</v>
      </c>
      <c r="N36" s="80">
        <f t="shared" si="41"/>
        <v>10</v>
      </c>
      <c r="O36" s="88"/>
    </row>
    <row r="37" spans="1:21" x14ac:dyDescent="0.35">
      <c r="A37" t="s">
        <v>161</v>
      </c>
      <c r="B37" s="3">
        <f>SUM(Historicals!B42:B44)</f>
        <v>4020</v>
      </c>
      <c r="C37" s="3">
        <f>SUM(Historicals!C42:C44)</f>
        <v>3122</v>
      </c>
      <c r="D37" s="3">
        <f>SUM(Historicals!D42:D44)</f>
        <v>3095</v>
      </c>
      <c r="E37" s="3">
        <f>SUM(Historicals!E42:E44)</f>
        <v>3419</v>
      </c>
      <c r="F37" s="3">
        <f>SUM(Historicals!F42:F44)</f>
        <v>5239</v>
      </c>
      <c r="G37" s="3">
        <f>SUM(Historicals!G42:G44)</f>
        <v>5785</v>
      </c>
      <c r="H37" s="3">
        <f>SUM(Historicals!H42:H44)</f>
        <v>6836</v>
      </c>
      <c r="I37" s="3">
        <f>SUM(Historicals!I42:I44)</f>
        <v>6862</v>
      </c>
      <c r="J37" s="80">
        <f>I37</f>
        <v>6862</v>
      </c>
      <c r="K37" s="80">
        <f>J37</f>
        <v>6862</v>
      </c>
      <c r="L37" s="80">
        <f t="shared" ref="L37:N40" si="42">K37</f>
        <v>6862</v>
      </c>
      <c r="M37" s="80">
        <f t="shared" si="42"/>
        <v>6862</v>
      </c>
      <c r="N37" s="80">
        <f t="shared" si="42"/>
        <v>6862</v>
      </c>
      <c r="O37" s="88"/>
      <c r="P37" s="84" t="s">
        <v>252</v>
      </c>
    </row>
    <row r="38" spans="1:21" x14ac:dyDescent="0.35">
      <c r="A38" t="s">
        <v>49</v>
      </c>
      <c r="B38" s="3">
        <f>Historicals!B46</f>
        <v>1079</v>
      </c>
      <c r="C38" s="3">
        <f>Historicals!C46</f>
        <v>2010</v>
      </c>
      <c r="D38" s="3">
        <f>Historicals!D46</f>
        <v>3471</v>
      </c>
      <c r="E38" s="3">
        <f>Historicals!E46</f>
        <v>3468</v>
      </c>
      <c r="F38" s="3">
        <f>Historicals!F46</f>
        <v>3464</v>
      </c>
      <c r="G38" s="3">
        <f>Historicals!G46</f>
        <v>9406</v>
      </c>
      <c r="H38" s="3">
        <f>Historicals!H46</f>
        <v>9413</v>
      </c>
      <c r="I38" s="3">
        <f>Historicals!I46</f>
        <v>8920</v>
      </c>
      <c r="J38" s="80">
        <f>I38</f>
        <v>8920</v>
      </c>
      <c r="K38" s="80">
        <f>J38</f>
        <v>8920</v>
      </c>
      <c r="L38" s="80">
        <f t="shared" si="42"/>
        <v>8920</v>
      </c>
      <c r="M38" s="80">
        <f t="shared" si="42"/>
        <v>8920</v>
      </c>
      <c r="N38" s="80">
        <f t="shared" si="42"/>
        <v>8920</v>
      </c>
      <c r="O38" s="88"/>
      <c r="P38" s="84"/>
    </row>
    <row r="39" spans="1:21" x14ac:dyDescent="0.35">
      <c r="A39" s="51" t="s">
        <v>50</v>
      </c>
      <c r="B39" s="3">
        <f>Historicals!B47</f>
        <v>0</v>
      </c>
      <c r="C39" s="3">
        <f>Historicals!C47</f>
        <v>0</v>
      </c>
      <c r="D39" s="3">
        <f>Historicals!D47</f>
        <v>0</v>
      </c>
      <c r="E39" s="3">
        <f>Historicals!E47</f>
        <v>0</v>
      </c>
      <c r="F39" s="3">
        <f>Historicals!F47</f>
        <v>0</v>
      </c>
      <c r="G39" s="3">
        <f>Historicals!G47</f>
        <v>2913</v>
      </c>
      <c r="H39" s="3">
        <f>Historicals!H47</f>
        <v>2931</v>
      </c>
      <c r="I39" s="3">
        <f>Historicals!I47</f>
        <v>2777</v>
      </c>
      <c r="J39" s="80">
        <f>I39</f>
        <v>2777</v>
      </c>
      <c r="K39" s="80">
        <f>J39</f>
        <v>2777</v>
      </c>
      <c r="L39" s="80">
        <f t="shared" si="42"/>
        <v>2777</v>
      </c>
      <c r="M39" s="80">
        <f t="shared" si="42"/>
        <v>2777</v>
      </c>
      <c r="N39" s="80">
        <f t="shared" si="42"/>
        <v>2777</v>
      </c>
      <c r="O39" s="88"/>
      <c r="P39" s="84"/>
    </row>
    <row r="40" spans="1:21" x14ac:dyDescent="0.35">
      <c r="A40" t="s">
        <v>162</v>
      </c>
      <c r="B40" s="3">
        <f>Historicals!B48</f>
        <v>1479</v>
      </c>
      <c r="C40" s="3">
        <f>Historicals!C48</f>
        <v>1770</v>
      </c>
      <c r="D40" s="3">
        <f>Historicals!D48</f>
        <v>1907</v>
      </c>
      <c r="E40" s="3">
        <f>Historicals!E48</f>
        <v>3216</v>
      </c>
      <c r="F40" s="3">
        <f>Historicals!F48</f>
        <v>3347</v>
      </c>
      <c r="G40" s="3">
        <f>Historicals!G48</f>
        <v>2684</v>
      </c>
      <c r="H40" s="3">
        <f>Historicals!H48</f>
        <v>2955</v>
      </c>
      <c r="I40" s="3">
        <f>Historicals!I48</f>
        <v>2613</v>
      </c>
      <c r="J40" s="80">
        <f>I40</f>
        <v>2613</v>
      </c>
      <c r="K40" s="80">
        <f>J40</f>
        <v>2613</v>
      </c>
      <c r="L40" s="80">
        <f t="shared" si="42"/>
        <v>2613</v>
      </c>
      <c r="M40" s="80">
        <f t="shared" si="42"/>
        <v>2613</v>
      </c>
      <c r="N40" s="80">
        <f t="shared" si="42"/>
        <v>2613</v>
      </c>
      <c r="O40" s="88"/>
    </row>
    <row r="41" spans="1:21" x14ac:dyDescent="0.35">
      <c r="A41" t="s">
        <v>163</v>
      </c>
      <c r="B41" s="9">
        <f t="shared" ref="B41:H41" si="43">SUM(B42:B44)</f>
        <v>12707</v>
      </c>
      <c r="C41" s="9">
        <f t="shared" si="43"/>
        <v>12258</v>
      </c>
      <c r="D41" s="9">
        <f t="shared" si="43"/>
        <v>12407</v>
      </c>
      <c r="E41" s="9">
        <f t="shared" si="43"/>
        <v>9812</v>
      </c>
      <c r="F41" s="9">
        <f t="shared" si="43"/>
        <v>9040</v>
      </c>
      <c r="G41" s="9">
        <f t="shared" si="43"/>
        <v>8055</v>
      </c>
      <c r="H41" s="9">
        <f t="shared" si="43"/>
        <v>12767</v>
      </c>
      <c r="I41" s="9">
        <f>SUM(I42:I44)</f>
        <v>15281</v>
      </c>
      <c r="J41" s="9">
        <f>SUM(J42:J44)</f>
        <v>16883.263386646948</v>
      </c>
      <c r="K41" s="9">
        <f t="shared" ref="K41:N41" si="44">SUM(K42:K44)</f>
        <v>17405.228728500781</v>
      </c>
      <c r="L41" s="9">
        <f t="shared" si="44"/>
        <v>18631.508637590399</v>
      </c>
      <c r="M41" s="9">
        <f t="shared" si="44"/>
        <v>20745.891263313948</v>
      </c>
      <c r="N41" s="9">
        <f t="shared" si="44"/>
        <v>23976.995056626896</v>
      </c>
      <c r="O41" s="82"/>
    </row>
    <row r="42" spans="1:21" x14ac:dyDescent="0.35">
      <c r="A42" s="2" t="s">
        <v>164</v>
      </c>
      <c r="B42" s="3">
        <f>Historicals!B54</f>
        <v>3</v>
      </c>
      <c r="C42" s="3">
        <f>Historicals!C54</f>
        <v>3</v>
      </c>
      <c r="D42" s="3">
        <f>Historicals!D54</f>
        <v>3</v>
      </c>
      <c r="E42" s="3">
        <f>Historicals!E54</f>
        <v>3</v>
      </c>
      <c r="F42" s="3">
        <f>Historicals!F54</f>
        <v>3</v>
      </c>
      <c r="G42" s="3">
        <f>Historicals!G54</f>
        <v>3</v>
      </c>
      <c r="H42" s="3">
        <f>Historicals!H54</f>
        <v>3</v>
      </c>
      <c r="I42" s="3">
        <f>Historicals!I54</f>
        <v>3</v>
      </c>
      <c r="J42" s="80">
        <f>I42</f>
        <v>3</v>
      </c>
      <c r="K42" s="80">
        <f>J42</f>
        <v>3</v>
      </c>
      <c r="L42" s="80">
        <f t="shared" ref="L42:N42" si="45">K42</f>
        <v>3</v>
      </c>
      <c r="M42" s="80">
        <f t="shared" si="45"/>
        <v>3</v>
      </c>
      <c r="N42" s="80">
        <f t="shared" si="45"/>
        <v>3</v>
      </c>
      <c r="O42" s="81" t="s">
        <v>256</v>
      </c>
    </row>
    <row r="43" spans="1:21" x14ac:dyDescent="0.35">
      <c r="A43" s="2" t="s">
        <v>165</v>
      </c>
      <c r="B43" s="3">
        <f>Historicals!B57</f>
        <v>4685</v>
      </c>
      <c r="C43" s="3">
        <f>Historicals!C57</f>
        <v>4151</v>
      </c>
      <c r="D43" s="3">
        <f>Historicals!D57</f>
        <v>6907</v>
      </c>
      <c r="E43" s="3">
        <f>Historicals!E57</f>
        <v>3517</v>
      </c>
      <c r="F43" s="3">
        <f>Historicals!F57</f>
        <v>1643</v>
      </c>
      <c r="G43" s="3">
        <f>Historicals!G57</f>
        <v>-191</v>
      </c>
      <c r="H43" s="3">
        <f>Historicals!H57</f>
        <v>3179</v>
      </c>
      <c r="I43" s="3">
        <f>Historicals!I57</f>
        <v>3476</v>
      </c>
      <c r="J43" s="3">
        <f>I43+J15+J68+J66</f>
        <v>5078.2633866469459</v>
      </c>
      <c r="K43" s="3">
        <f t="shared" ref="K43:M43" si="46">J43+K15+K68+K66</f>
        <v>5600.2287285007806</v>
      </c>
      <c r="L43" s="3">
        <f t="shared" si="46"/>
        <v>6826.5086375903975</v>
      </c>
      <c r="M43" s="3">
        <f t="shared" si="46"/>
        <v>8940.891263313948</v>
      </c>
      <c r="N43" s="3">
        <f>M43+N15+N68+N66</f>
        <v>12171.995056626896</v>
      </c>
      <c r="O43" s="1" t="s">
        <v>268</v>
      </c>
    </row>
    <row r="44" spans="1:21" x14ac:dyDescent="0.35">
      <c r="A44" s="2" t="s">
        <v>166</v>
      </c>
      <c r="B44" s="3">
        <f>SUM(Historicals!B55:B56)</f>
        <v>8019</v>
      </c>
      <c r="C44" s="3">
        <f>SUM(Historicals!C55:C56)</f>
        <v>8104</v>
      </c>
      <c r="D44" s="3">
        <f>SUM(Historicals!D55:D56)</f>
        <v>5497</v>
      </c>
      <c r="E44" s="3">
        <f>SUM(Historicals!E55:E56)</f>
        <v>6292</v>
      </c>
      <c r="F44" s="3">
        <f>SUM(Historicals!F55:F56)</f>
        <v>7394</v>
      </c>
      <c r="G44" s="3">
        <f>SUM(Historicals!G55:G56)</f>
        <v>8243</v>
      </c>
      <c r="H44" s="3">
        <f>SUM(Historicals!H55:H56)</f>
        <v>9585</v>
      </c>
      <c r="I44" s="3">
        <f>SUM(Historicals!I55:I56)</f>
        <v>11802</v>
      </c>
      <c r="J44" s="80">
        <f>I44</f>
        <v>11802</v>
      </c>
      <c r="K44" s="80">
        <f>J44</f>
        <v>11802</v>
      </c>
      <c r="L44" s="80">
        <f t="shared" ref="L44:N44" si="47">K44</f>
        <v>11802</v>
      </c>
      <c r="M44" s="80">
        <f t="shared" si="47"/>
        <v>11802</v>
      </c>
      <c r="N44" s="80">
        <f t="shared" si="47"/>
        <v>11802</v>
      </c>
      <c r="O44" s="81" t="s">
        <v>256</v>
      </c>
    </row>
    <row r="45" spans="1:21" ht="15" thickBot="1" x14ac:dyDescent="0.4">
      <c r="A45" s="6" t="s">
        <v>167</v>
      </c>
      <c r="B45" s="7">
        <f t="shared" ref="B45:H45" si="48">B34+SUM(B37:B41)</f>
        <v>19466</v>
      </c>
      <c r="C45" s="7">
        <f t="shared" si="48"/>
        <v>19205</v>
      </c>
      <c r="D45" s="7">
        <f t="shared" si="48"/>
        <v>21211</v>
      </c>
      <c r="E45" s="7">
        <f t="shared" si="48"/>
        <v>20257</v>
      </c>
      <c r="F45" s="7">
        <f t="shared" si="48"/>
        <v>21105</v>
      </c>
      <c r="G45" s="7">
        <f t="shared" si="48"/>
        <v>29094</v>
      </c>
      <c r="H45" s="7">
        <f t="shared" si="48"/>
        <v>34904</v>
      </c>
      <c r="I45" s="7">
        <f>I34+SUM(I37:I41)</f>
        <v>36963</v>
      </c>
      <c r="J45" s="7">
        <f>J34+SUM(J37:J41)</f>
        <v>38065.263386646948</v>
      </c>
      <c r="K45" s="7">
        <f t="shared" ref="K45:N45" si="49">K34+SUM(K37:K41)</f>
        <v>38587.228728500777</v>
      </c>
      <c r="L45" s="7">
        <f t="shared" si="49"/>
        <v>39813.508637590399</v>
      </c>
      <c r="M45" s="7">
        <f t="shared" si="49"/>
        <v>41927.891263313948</v>
      </c>
      <c r="N45" s="7">
        <f t="shared" si="49"/>
        <v>45158.995056626896</v>
      </c>
      <c r="O45" s="82"/>
    </row>
    <row r="46" spans="1:21" s="1" customFormat="1" ht="15" thickTop="1" x14ac:dyDescent="0.35">
      <c r="A46" s="78" t="s">
        <v>168</v>
      </c>
      <c r="B46" s="79">
        <f>B33-B45</f>
        <v>4.2809058541024569E-3</v>
      </c>
      <c r="C46" s="79">
        <f t="shared" ref="C46:H46" si="50">C33-C45</f>
        <v>4.0462070683133788E-3</v>
      </c>
      <c r="D46" s="79">
        <f t="shared" si="50"/>
        <v>4.0465793317707721E-3</v>
      </c>
      <c r="E46" s="79">
        <f t="shared" si="50"/>
        <v>4.2311179495300166E-3</v>
      </c>
      <c r="F46" s="79">
        <f t="shared" si="50"/>
        <v>3.936907225579489E-3</v>
      </c>
      <c r="G46" s="79">
        <f t="shared" si="50"/>
        <v>5.9620886022457853E-3</v>
      </c>
      <c r="H46" s="79">
        <f t="shared" si="50"/>
        <v>5.4335623499355279E-3</v>
      </c>
      <c r="I46" s="79">
        <f>I33-I45</f>
        <v>6.080068509618286E-3</v>
      </c>
      <c r="J46" s="79">
        <f t="shared" ref="J46:N46" si="51">J33-J45</f>
        <v>-8.8565226644277573E-2</v>
      </c>
      <c r="K46" s="79">
        <f t="shared" si="51"/>
        <v>0.31811736710369587</v>
      </c>
      <c r="L46" s="79">
        <f t="shared" si="51"/>
        <v>-0.27520003915560665</v>
      </c>
      <c r="M46" s="79">
        <f t="shared" si="51"/>
        <v>0.13148255457781488</v>
      </c>
      <c r="N46" s="79">
        <f t="shared" si="51"/>
        <v>-0.46183485166693572</v>
      </c>
      <c r="O46" s="83"/>
      <c r="R46"/>
      <c r="S46"/>
      <c r="T46"/>
      <c r="U46"/>
    </row>
    <row r="47" spans="1:21" x14ac:dyDescent="0.35">
      <c r="A47" s="50" t="s">
        <v>246</v>
      </c>
      <c r="B47" s="33"/>
      <c r="C47" s="33"/>
      <c r="D47" s="33"/>
      <c r="E47" s="33"/>
      <c r="F47" s="33"/>
      <c r="G47" s="33"/>
      <c r="H47" s="33"/>
      <c r="I47" s="33"/>
      <c r="J47" s="33"/>
      <c r="K47" s="33"/>
      <c r="L47" s="33"/>
      <c r="M47" s="33"/>
      <c r="N47" s="33"/>
      <c r="O47" s="82"/>
    </row>
    <row r="48" spans="1:21" x14ac:dyDescent="0.35">
      <c r="A48" s="1" t="s">
        <v>133</v>
      </c>
      <c r="B48" s="55">
        <f>'Segmental forecast'!B11</f>
        <v>4233</v>
      </c>
      <c r="C48" s="55">
        <f>'Segmental forecast'!C11</f>
        <v>4642</v>
      </c>
      <c r="D48" s="55">
        <f>'Segmental forecast'!D11</f>
        <v>4945</v>
      </c>
      <c r="E48" s="55">
        <f>'Segmental forecast'!E11</f>
        <v>4379</v>
      </c>
      <c r="F48" s="55">
        <f>'Segmental forecast'!F11</f>
        <v>4850</v>
      </c>
      <c r="G48" s="55">
        <f>'Segmental forecast'!G11</f>
        <v>2976</v>
      </c>
      <c r="H48" s="55">
        <f>'Segmental forecast'!H11</f>
        <v>6923</v>
      </c>
      <c r="I48" s="55">
        <f>'Segmental forecast'!I11</f>
        <v>6856</v>
      </c>
      <c r="J48" s="55">
        <f>'Segmental forecast'!J11</f>
        <v>7590.1530613957293</v>
      </c>
      <c r="K48" s="55">
        <f>'Segmental forecast'!K11</f>
        <v>8522.6971550685776</v>
      </c>
      <c r="L48" s="55">
        <f>'Segmental forecast'!L11</f>
        <v>9702.5104889725117</v>
      </c>
      <c r="M48" s="55">
        <f>'Segmental forecast'!M11</f>
        <v>11190.191527678408</v>
      </c>
      <c r="N48" s="55">
        <f>'Segmental forecast'!N11</f>
        <v>13060.836527888494</v>
      </c>
      <c r="O48" s="82"/>
    </row>
    <row r="49" spans="1:15" x14ac:dyDescent="0.35">
      <c r="A49" t="s">
        <v>131</v>
      </c>
      <c r="B49" s="52">
        <f>'Segmental forecast'!B8</f>
        <v>606</v>
      </c>
      <c r="C49" s="52">
        <f>'Segmental forecast'!C8</f>
        <v>649</v>
      </c>
      <c r="D49" s="52">
        <f>'Segmental forecast'!D8</f>
        <v>706</v>
      </c>
      <c r="E49" s="52">
        <f>'Segmental forecast'!E8</f>
        <v>747</v>
      </c>
      <c r="F49" s="52">
        <f>'Segmental forecast'!F8</f>
        <v>705</v>
      </c>
      <c r="G49" s="52">
        <f>'Segmental forecast'!G8</f>
        <v>721</v>
      </c>
      <c r="H49" s="52">
        <f>'Segmental forecast'!H8</f>
        <v>744</v>
      </c>
      <c r="I49" s="52">
        <f>'Segmental forecast'!I8</f>
        <v>717</v>
      </c>
      <c r="J49" s="52">
        <f>'Segmental forecast'!J8</f>
        <v>743.70908538052549</v>
      </c>
      <c r="K49" s="52">
        <f>'Segmental forecast'!K8</f>
        <v>772.60648735436496</v>
      </c>
      <c r="L49" s="52">
        <f>'Segmental forecast'!L8</f>
        <v>803.85460035546657</v>
      </c>
      <c r="M49" s="52">
        <f>'Segmental forecast'!M8</f>
        <v>837.6287125521884</v>
      </c>
      <c r="N49" s="52">
        <f>'Segmental forecast'!N8</f>
        <v>874.11805250243083</v>
      </c>
      <c r="O49" s="84" t="s">
        <v>248</v>
      </c>
    </row>
    <row r="50" spans="1:15" x14ac:dyDescent="0.35">
      <c r="A50" t="s">
        <v>169</v>
      </c>
      <c r="B50" s="56">
        <f>Historicals!B103</f>
        <v>703</v>
      </c>
      <c r="C50" s="56">
        <f>Historicals!C103</f>
        <v>748</v>
      </c>
      <c r="D50" s="56">
        <f>Historicals!D103</f>
        <v>1262</v>
      </c>
      <c r="E50" s="56">
        <f>Historicals!E103</f>
        <v>529</v>
      </c>
      <c r="F50" s="56">
        <f>Historicals!F103</f>
        <v>757</v>
      </c>
      <c r="G50" s="56">
        <f>Historicals!G103</f>
        <v>1028</v>
      </c>
      <c r="H50" s="56">
        <f>Historicals!H103</f>
        <v>1177</v>
      </c>
      <c r="I50" s="56">
        <f>Historicals!I103</f>
        <v>1231</v>
      </c>
      <c r="J50" s="56">
        <f>J13</f>
        <v>1199.3838576245087</v>
      </c>
      <c r="K50" s="56">
        <f t="shared" ref="K50:N50" si="52">K13</f>
        <v>1348.9157621880449</v>
      </c>
      <c r="L50" s="56">
        <f t="shared" si="52"/>
        <v>1538.0968808558785</v>
      </c>
      <c r="M50" s="56">
        <f t="shared" si="52"/>
        <v>1776.6440772941774</v>
      </c>
      <c r="N50" s="56">
        <f t="shared" si="52"/>
        <v>2076.5989121824477</v>
      </c>
      <c r="O50" s="84" t="s">
        <v>264</v>
      </c>
    </row>
    <row r="51" spans="1:15" x14ac:dyDescent="0.35">
      <c r="A51" s="46" t="s">
        <v>255</v>
      </c>
      <c r="B51" s="48">
        <f t="shared" ref="B51:H51" si="53">B50/B3</f>
        <v>2.2973105454070129E-2</v>
      </c>
      <c r="C51" s="48">
        <f t="shared" si="53"/>
        <v>2.3103533481591301E-2</v>
      </c>
      <c r="D51" s="48">
        <f t="shared" si="53"/>
        <v>3.6739446870451234E-2</v>
      </c>
      <c r="E51" s="48">
        <f t="shared" si="53"/>
        <v>1.4534164903700854E-2</v>
      </c>
      <c r="F51" s="48">
        <f t="shared" si="53"/>
        <v>1.935219981082394E-2</v>
      </c>
      <c r="G51" s="48">
        <f t="shared" si="53"/>
        <v>2.7484426382910463E-2</v>
      </c>
      <c r="H51" s="48">
        <f t="shared" si="53"/>
        <v>2.6426871435628004E-2</v>
      </c>
      <c r="I51" s="48">
        <f>I50/I3</f>
        <v>2.6354099764504389E-2</v>
      </c>
      <c r="J51" s="48">
        <f t="shared" ref="J51:N51" si="54">J50/J3</f>
        <v>2.3443233040225702E-2</v>
      </c>
      <c r="K51" s="48">
        <f t="shared" si="54"/>
        <v>2.4023591953634627E-2</v>
      </c>
      <c r="L51" s="48">
        <f t="shared" si="54"/>
        <v>2.4909127226491478E-2</v>
      </c>
      <c r="M51" s="48">
        <f t="shared" si="54"/>
        <v>2.6111257318185453E-2</v>
      </c>
      <c r="N51" s="48">
        <f t="shared" si="54"/>
        <v>2.7641795022600918E-2</v>
      </c>
      <c r="O51" s="83" t="s">
        <v>247</v>
      </c>
    </row>
    <row r="52" spans="1:15" x14ac:dyDescent="0.35">
      <c r="A52" s="1" t="s">
        <v>170</v>
      </c>
      <c r="B52" s="55">
        <f t="shared" ref="B52:N52" si="55">B48-B50</f>
        <v>3530</v>
      </c>
      <c r="C52" s="55">
        <f t="shared" si="55"/>
        <v>3894</v>
      </c>
      <c r="D52" s="55">
        <f t="shared" si="55"/>
        <v>3683</v>
      </c>
      <c r="E52" s="55">
        <f t="shared" si="55"/>
        <v>3850</v>
      </c>
      <c r="F52" s="55">
        <f t="shared" si="55"/>
        <v>4093</v>
      </c>
      <c r="G52" s="55">
        <f t="shared" si="55"/>
        <v>1948</v>
      </c>
      <c r="H52" s="55">
        <f t="shared" si="55"/>
        <v>5746</v>
      </c>
      <c r="I52" s="55">
        <f t="shared" si="55"/>
        <v>5625</v>
      </c>
      <c r="J52" s="55">
        <f t="shared" si="55"/>
        <v>6390.7692037712204</v>
      </c>
      <c r="K52" s="55">
        <f t="shared" si="55"/>
        <v>7173.7813928805326</v>
      </c>
      <c r="L52" s="55">
        <f t="shared" si="55"/>
        <v>8164.4136081166334</v>
      </c>
      <c r="M52" s="55">
        <f t="shared" si="55"/>
        <v>9413.5474503842306</v>
      </c>
      <c r="N52" s="55">
        <f t="shared" si="55"/>
        <v>10984.237615706046</v>
      </c>
      <c r="O52" s="82"/>
    </row>
    <row r="53" spans="1:15" x14ac:dyDescent="0.35">
      <c r="A53" t="s">
        <v>171</v>
      </c>
      <c r="B53" s="56">
        <f>Historicals!B102</f>
        <v>53</v>
      </c>
      <c r="C53" s="56">
        <f>Historicals!C102</f>
        <v>70</v>
      </c>
      <c r="D53" s="56">
        <f>Historicals!D102</f>
        <v>98</v>
      </c>
      <c r="E53" s="56">
        <f>Historicals!E102</f>
        <v>125</v>
      </c>
      <c r="F53" s="56">
        <f>Historicals!F102</f>
        <v>153</v>
      </c>
      <c r="G53" s="56">
        <f>Historicals!G102</f>
        <v>140</v>
      </c>
      <c r="H53" s="56">
        <f>Historicals!H102</f>
        <v>293</v>
      </c>
      <c r="I53" s="56">
        <f>Historicals!I102</f>
        <v>290</v>
      </c>
      <c r="J53" s="56">
        <f>J37*J54</f>
        <v>207.88222714162734</v>
      </c>
      <c r="K53" s="56">
        <f t="shared" ref="K53:N53" si="56">K37*K54</f>
        <v>207.88222714162734</v>
      </c>
      <c r="L53" s="56">
        <f t="shared" si="56"/>
        <v>207.88222714162734</v>
      </c>
      <c r="M53" s="56">
        <f t="shared" si="56"/>
        <v>207.88222714162734</v>
      </c>
      <c r="N53" s="56">
        <f t="shared" si="56"/>
        <v>207.88222714162734</v>
      </c>
      <c r="O53" s="82"/>
    </row>
    <row r="54" spans="1:15" x14ac:dyDescent="0.35">
      <c r="A54" s="46" t="s">
        <v>249</v>
      </c>
      <c r="B54" s="48">
        <f>B53/'Three Statements'!B37</f>
        <v>1.3184079601990049E-2</v>
      </c>
      <c r="C54" s="48">
        <f>C53/'Three Statements'!C37</f>
        <v>2.2421524663677129E-2</v>
      </c>
      <c r="D54" s="48">
        <f>D53/'Three Statements'!D37</f>
        <v>3.1663974151857836E-2</v>
      </c>
      <c r="E54" s="48">
        <f>E53/'Three Statements'!E37</f>
        <v>3.6560397777127815E-2</v>
      </c>
      <c r="F54" s="48">
        <f>F53/'Three Statements'!F37</f>
        <v>2.920404657377362E-2</v>
      </c>
      <c r="G54" s="48">
        <f>G53/'Three Statements'!G37</f>
        <v>2.4200518582541054E-2</v>
      </c>
      <c r="H54" s="48">
        <f>H53/'Three Statements'!H37</f>
        <v>4.2861322410766532E-2</v>
      </c>
      <c r="I54" s="48">
        <f>I53/'Three Statements'!I37</f>
        <v>4.2261731273681144E-2</v>
      </c>
      <c r="J54" s="48">
        <f>AVERAGE(B54:I54)</f>
        <v>3.0294699379426894E-2</v>
      </c>
      <c r="K54" s="48">
        <f>J54</f>
        <v>3.0294699379426894E-2</v>
      </c>
      <c r="L54" s="48">
        <f t="shared" ref="L54:N54" si="57">K54</f>
        <v>3.0294699379426894E-2</v>
      </c>
      <c r="M54" s="48">
        <f t="shared" si="57"/>
        <v>3.0294699379426894E-2</v>
      </c>
      <c r="N54" s="48">
        <f t="shared" si="57"/>
        <v>3.0294699379426894E-2</v>
      </c>
      <c r="O54" s="83" t="s">
        <v>247</v>
      </c>
    </row>
    <row r="55" spans="1:15" x14ac:dyDescent="0.35">
      <c r="A55" t="s">
        <v>172</v>
      </c>
      <c r="B55" s="56">
        <f>5451-B24</f>
        <v>-113</v>
      </c>
      <c r="C55" s="56">
        <f t="shared" ref="C55:N55" si="58">B24-C24</f>
        <v>-324</v>
      </c>
      <c r="D55" s="56">
        <f t="shared" si="58"/>
        <v>-796</v>
      </c>
      <c r="E55" s="56">
        <f t="shared" si="58"/>
        <v>204</v>
      </c>
      <c r="F55" s="56">
        <f t="shared" si="58"/>
        <v>-802</v>
      </c>
      <c r="G55" s="56">
        <f t="shared" si="58"/>
        <v>-586</v>
      </c>
      <c r="H55" s="56">
        <f t="shared" si="58"/>
        <v>-613</v>
      </c>
      <c r="I55" s="56">
        <f>H24-I24</f>
        <v>-1248</v>
      </c>
      <c r="J55" s="56">
        <f>I24-J24</f>
        <v>-65.381299840137217</v>
      </c>
      <c r="K55" s="56">
        <f>J24-K24</f>
        <v>-954.99334317454486</v>
      </c>
      <c r="L55" s="56">
        <f t="shared" si="58"/>
        <v>-1071.8233992363021</v>
      </c>
      <c r="M55" s="56">
        <f t="shared" si="58"/>
        <v>-1204.7385696245037</v>
      </c>
      <c r="N55" s="56">
        <f t="shared" si="58"/>
        <v>-1356.17625457965</v>
      </c>
      <c r="O55" s="82"/>
    </row>
    <row r="56" spans="1:15" x14ac:dyDescent="0.35">
      <c r="A56" t="s">
        <v>134</v>
      </c>
      <c r="B56" s="56">
        <f>Historicals!B82+Historicals!B83-Historicals!B104</f>
        <v>-1166</v>
      </c>
      <c r="C56" s="56">
        <f>Historicals!C82+Historicals!C83-Historicals!C104</f>
        <v>-1385</v>
      </c>
      <c r="D56" s="56">
        <f>Historicals!D82+Historicals!D83-Historicals!D104</f>
        <v>-1358</v>
      </c>
      <c r="E56" s="56">
        <f>Historicals!E82+Historicals!E83-Historicals!E104</f>
        <v>-1319</v>
      </c>
      <c r="F56" s="56">
        <f>Historicals!F82+Historicals!F83-Historicals!F104</f>
        <v>-1279</v>
      </c>
      <c r="G56" s="56">
        <f>Historicals!G82+Historicals!G83-Historicals!G104</f>
        <v>-1207</v>
      </c>
      <c r="H56" s="56">
        <f>Historicals!H82+Historicals!H83-Historicals!H104</f>
        <v>-874</v>
      </c>
      <c r="I56" s="56">
        <f>Historicals!I82+Historicals!I83-Historicals!I104</f>
        <v>-918</v>
      </c>
      <c r="J56" s="56">
        <f>-'Segmental forecast'!J14</f>
        <v>-795.18747479454748</v>
      </c>
      <c r="K56" s="56">
        <f>-'Segmental forecast'!K14</f>
        <v>-846.35273211741219</v>
      </c>
      <c r="L56" s="56">
        <f>-'Segmental forecast'!L14</f>
        <v>-917.15404427060616</v>
      </c>
      <c r="M56" s="56">
        <f>-'Segmental forecast'!M14</f>
        <v>-1015.9360265280537</v>
      </c>
      <c r="N56" s="56">
        <f>-'Segmental forecast'!N14</f>
        <v>-1155.008622361167</v>
      </c>
      <c r="O56" s="84" t="s">
        <v>248</v>
      </c>
    </row>
    <row r="57" spans="1:15" x14ac:dyDescent="0.35">
      <c r="A57" s="46" t="s">
        <v>128</v>
      </c>
      <c r="B57" s="40" t="str">
        <f>+IFERROR(B55/A55-1,"nm")</f>
        <v>nm</v>
      </c>
      <c r="C57" s="40">
        <f>+IFERROR(C56/B56-1,"nm")</f>
        <v>0.18782161234991435</v>
      </c>
      <c r="D57" s="40">
        <f t="shared" ref="D57:I57" si="59">+IFERROR(D56/C56-1,"nm")</f>
        <v>-1.9494584837545181E-2</v>
      </c>
      <c r="E57" s="40">
        <f t="shared" si="59"/>
        <v>-2.8718703976435944E-2</v>
      </c>
      <c r="F57" s="40">
        <f t="shared" si="59"/>
        <v>-3.0326004548900665E-2</v>
      </c>
      <c r="G57" s="40">
        <f t="shared" si="59"/>
        <v>-5.6293979671618422E-2</v>
      </c>
      <c r="H57" s="40">
        <f t="shared" si="59"/>
        <v>-0.27589063794531898</v>
      </c>
      <c r="I57" s="40">
        <f t="shared" si="59"/>
        <v>5.034324942791768E-2</v>
      </c>
      <c r="J57" s="48">
        <f t="shared" ref="J57" si="60">+IFERROR(J56/I56-1,"nm")</f>
        <v>-0.13378270719548202</v>
      </c>
      <c r="K57" s="48">
        <f>+IFERROR(K56/J56-1,"nm")</f>
        <v>6.4343640895606846E-2</v>
      </c>
      <c r="L57" s="48">
        <f t="shared" ref="L57" si="61">+IFERROR(L56/K56-1,"nm")</f>
        <v>8.3654615228880624E-2</v>
      </c>
      <c r="M57" s="48">
        <f t="shared" ref="M57" si="62">+IFERROR(M56/L56-1,"nm")</f>
        <v>0.10770489742102907</v>
      </c>
      <c r="N57" s="48">
        <f t="shared" ref="N57" si="63">+IFERROR(N56/M56-1,"nm")</f>
        <v>0.13689109570057467</v>
      </c>
      <c r="O57" s="83" t="s">
        <v>257</v>
      </c>
    </row>
    <row r="58" spans="1:15" x14ac:dyDescent="0.35">
      <c r="A58" s="1" t="s">
        <v>173</v>
      </c>
      <c r="B58" s="55">
        <f t="shared" ref="B58:N58" si="64">B52+B49+B55+B56-B53</f>
        <v>2804</v>
      </c>
      <c r="C58" s="55">
        <f t="shared" si="64"/>
        <v>2764</v>
      </c>
      <c r="D58" s="55">
        <f t="shared" si="64"/>
        <v>2137</v>
      </c>
      <c r="E58" s="55">
        <f t="shared" si="64"/>
        <v>3357</v>
      </c>
      <c r="F58" s="55">
        <f t="shared" si="64"/>
        <v>2564</v>
      </c>
      <c r="G58" s="55">
        <f t="shared" si="64"/>
        <v>736</v>
      </c>
      <c r="H58" s="55">
        <f t="shared" si="64"/>
        <v>4710</v>
      </c>
      <c r="I58" s="55">
        <f t="shared" si="64"/>
        <v>3886</v>
      </c>
      <c r="J58" s="55">
        <f t="shared" si="64"/>
        <v>6066.0272873754338</v>
      </c>
      <c r="K58" s="55">
        <f t="shared" si="64"/>
        <v>5937.1595778013125</v>
      </c>
      <c r="L58" s="55">
        <f t="shared" si="64"/>
        <v>6771.4085378235641</v>
      </c>
      <c r="M58" s="55">
        <f t="shared" si="64"/>
        <v>7822.6193396422341</v>
      </c>
      <c r="N58" s="55">
        <f t="shared" si="64"/>
        <v>9139.2885641260327</v>
      </c>
      <c r="O58" s="82"/>
    </row>
    <row r="59" spans="1:15" x14ac:dyDescent="0.35">
      <c r="A59" t="s">
        <v>174</v>
      </c>
      <c r="B59" s="56">
        <f>Historicals!B76-'Three Statements'!B52-'Three Statements'!B55-B49</f>
        <v>657</v>
      </c>
      <c r="C59" s="56">
        <f>Historicals!C76-'Three Statements'!C52-'Three Statements'!C55-C49</f>
        <v>-820</v>
      </c>
      <c r="D59" s="56">
        <f>Historicals!D76-'Three Statements'!D52-'Three Statements'!D55-D49</f>
        <v>253</v>
      </c>
      <c r="E59" s="56">
        <f>Historicals!E76-'Three Statements'!E52-'Three Statements'!E55-E49</f>
        <v>154</v>
      </c>
      <c r="F59" s="56">
        <f>Historicals!F76-'Three Statements'!F52-'Three Statements'!F55-F49</f>
        <v>1907</v>
      </c>
      <c r="G59" s="56">
        <f>Historicals!G76-'Three Statements'!G52-'Three Statements'!G55-G49</f>
        <v>402</v>
      </c>
      <c r="H59" s="56">
        <f>Historicals!H76-'Three Statements'!H52-'Three Statements'!H55-H49</f>
        <v>780</v>
      </c>
      <c r="I59" s="56">
        <f>Historicals!I76-'Three Statements'!I52-'Three Statements'!I55-I49</f>
        <v>94</v>
      </c>
      <c r="J59" s="80">
        <v>0</v>
      </c>
      <c r="K59" s="80">
        <v>0</v>
      </c>
      <c r="L59" s="80">
        <v>0</v>
      </c>
      <c r="M59" s="80">
        <v>0</v>
      </c>
      <c r="N59" s="80">
        <v>0</v>
      </c>
      <c r="O59" s="81" t="s">
        <v>263</v>
      </c>
    </row>
    <row r="60" spans="1:15" x14ac:dyDescent="0.35">
      <c r="A60" s="25" t="s">
        <v>175</v>
      </c>
      <c r="B60" s="57">
        <f t="shared" ref="B60:N60" si="65">B52+B55+B59+B49</f>
        <v>4680</v>
      </c>
      <c r="C60" s="57">
        <f t="shared" si="65"/>
        <v>3399</v>
      </c>
      <c r="D60" s="57">
        <f t="shared" si="65"/>
        <v>3846</v>
      </c>
      <c r="E60" s="57">
        <f t="shared" si="65"/>
        <v>4955</v>
      </c>
      <c r="F60" s="57">
        <f t="shared" si="65"/>
        <v>5903</v>
      </c>
      <c r="G60" s="57">
        <f t="shared" si="65"/>
        <v>2485</v>
      </c>
      <c r="H60" s="57">
        <f t="shared" si="65"/>
        <v>6657</v>
      </c>
      <c r="I60" s="57">
        <f t="shared" si="65"/>
        <v>5188</v>
      </c>
      <c r="J60" s="57">
        <f>J52+J55+J59+J49</f>
        <v>7069.0969893116089</v>
      </c>
      <c r="K60" s="57">
        <f t="shared" si="65"/>
        <v>6991.3945370603524</v>
      </c>
      <c r="L60" s="57">
        <f t="shared" si="65"/>
        <v>7896.4448092357979</v>
      </c>
      <c r="M60" s="57">
        <f t="shared" si="65"/>
        <v>9046.4375933119154</v>
      </c>
      <c r="N60" s="57">
        <f t="shared" si="65"/>
        <v>10502.179413628826</v>
      </c>
      <c r="O60" s="82"/>
    </row>
    <row r="61" spans="1:15" x14ac:dyDescent="0.35">
      <c r="A61" s="12" t="s">
        <v>168</v>
      </c>
      <c r="B61" s="79">
        <f>B60-Historicals!B76</f>
        <v>0</v>
      </c>
      <c r="C61" s="79">
        <f>C60-Historicals!C76</f>
        <v>0</v>
      </c>
      <c r="D61" s="79">
        <f>D60-Historicals!D76</f>
        <v>0</v>
      </c>
      <c r="E61" s="79">
        <f>E60-Historicals!E76</f>
        <v>0</v>
      </c>
      <c r="F61" s="79">
        <f>F60-Historicals!F76</f>
        <v>0</v>
      </c>
      <c r="G61" s="79">
        <f>G60-Historicals!G76</f>
        <v>0</v>
      </c>
      <c r="H61" s="79">
        <f>H60-Historicals!H76</f>
        <v>0</v>
      </c>
      <c r="I61" s="79">
        <f>I60-Historicals!I76</f>
        <v>0</v>
      </c>
      <c r="J61" s="79"/>
      <c r="K61" s="79"/>
      <c r="L61" s="79"/>
      <c r="M61" s="79"/>
      <c r="N61" s="79"/>
      <c r="O61" s="82"/>
    </row>
    <row r="62" spans="1:15" x14ac:dyDescent="0.35">
      <c r="A62" t="s">
        <v>176</v>
      </c>
      <c r="B62" s="56"/>
      <c r="C62" s="56"/>
      <c r="D62" s="56"/>
      <c r="E62" s="56"/>
      <c r="F62" s="56"/>
      <c r="G62" s="56"/>
      <c r="H62" s="56"/>
      <c r="I62" s="56"/>
      <c r="J62" s="56"/>
      <c r="K62" s="56"/>
      <c r="L62" s="56"/>
      <c r="M62" s="56"/>
      <c r="N62" s="56"/>
      <c r="O62" s="82"/>
    </row>
    <row r="63" spans="1:15" x14ac:dyDescent="0.35">
      <c r="A63" t="s">
        <v>177</v>
      </c>
      <c r="B63" s="56">
        <f>Historicals!B85-'Three Statements'!B56</f>
        <v>991</v>
      </c>
      <c r="C63" s="56">
        <f>Historicals!C85-'Three Statements'!C56</f>
        <v>351</v>
      </c>
      <c r="D63" s="56">
        <f>Historicals!D85-'Three Statements'!D56</f>
        <v>350</v>
      </c>
      <c r="E63" s="56">
        <f>Historicals!E85-'Three Statements'!E56</f>
        <v>1595</v>
      </c>
      <c r="F63" s="56">
        <f>Historicals!F85-'Three Statements'!F56</f>
        <v>1015</v>
      </c>
      <c r="G63" s="56">
        <f>Historicals!G85-'Three Statements'!G56</f>
        <v>179</v>
      </c>
      <c r="H63" s="56">
        <f>Historicals!H85-'Three Statements'!H56</f>
        <v>-2926</v>
      </c>
      <c r="I63" s="56">
        <f>Historicals!I85-'Three Statements'!I56</f>
        <v>-606</v>
      </c>
      <c r="J63" s="80">
        <f>+J28-I28</f>
        <v>-5.75</v>
      </c>
      <c r="K63" s="80">
        <f t="shared" ref="K63:N63" si="66">+K28-J28</f>
        <v>0</v>
      </c>
      <c r="L63" s="80">
        <f t="shared" si="66"/>
        <v>0</v>
      </c>
      <c r="M63" s="80">
        <f t="shared" si="66"/>
        <v>0</v>
      </c>
      <c r="N63" s="80">
        <f t="shared" si="66"/>
        <v>0</v>
      </c>
      <c r="O63" s="81" t="s">
        <v>259</v>
      </c>
    </row>
    <row r="64" spans="1:15" x14ac:dyDescent="0.35">
      <c r="A64" s="25" t="s">
        <v>178</v>
      </c>
      <c r="B64" s="57">
        <f t="shared" ref="B64:N64" si="67">B62+B63+B56</f>
        <v>-175</v>
      </c>
      <c r="C64" s="57">
        <f t="shared" si="67"/>
        <v>-1034</v>
      </c>
      <c r="D64" s="57">
        <f t="shared" si="67"/>
        <v>-1008</v>
      </c>
      <c r="E64" s="57">
        <f t="shared" si="67"/>
        <v>276</v>
      </c>
      <c r="F64" s="57">
        <f t="shared" si="67"/>
        <v>-264</v>
      </c>
      <c r="G64" s="57">
        <f t="shared" si="67"/>
        <v>-1028</v>
      </c>
      <c r="H64" s="57">
        <f t="shared" si="67"/>
        <v>-3800</v>
      </c>
      <c r="I64" s="57">
        <f t="shared" si="67"/>
        <v>-1524</v>
      </c>
      <c r="J64" s="57">
        <f>J62+J63+J56</f>
        <v>-800.93747479454748</v>
      </c>
      <c r="K64" s="57">
        <f t="shared" si="67"/>
        <v>-846.35273211741219</v>
      </c>
      <c r="L64" s="57">
        <f t="shared" si="67"/>
        <v>-917.15404427060616</v>
      </c>
      <c r="M64" s="57">
        <f t="shared" si="67"/>
        <v>-1015.9360265280537</v>
      </c>
      <c r="N64" s="57">
        <f t="shared" si="67"/>
        <v>-1155.008622361167</v>
      </c>
      <c r="O64" s="82"/>
    </row>
    <row r="65" spans="1:15" x14ac:dyDescent="0.35">
      <c r="A65" s="12" t="s">
        <v>168</v>
      </c>
      <c r="B65" s="79">
        <f>B64-Historicals!B85</f>
        <v>0</v>
      </c>
      <c r="C65" s="79">
        <f>C64-Historicals!C85</f>
        <v>0</v>
      </c>
      <c r="D65" s="79">
        <f>D64-Historicals!D85</f>
        <v>0</v>
      </c>
      <c r="E65" s="79">
        <f>E64-Historicals!E85</f>
        <v>0</v>
      </c>
      <c r="F65" s="79">
        <f>F64-Historicals!F85</f>
        <v>0</v>
      </c>
      <c r="G65" s="79">
        <f>G64-Historicals!G85</f>
        <v>0</v>
      </c>
      <c r="H65" s="79">
        <f>H64-Historicals!H85</f>
        <v>0</v>
      </c>
      <c r="I65" s="79">
        <f>I64-Historicals!I85</f>
        <v>0</v>
      </c>
      <c r="J65" s="79"/>
      <c r="K65" s="79"/>
      <c r="L65" s="79"/>
      <c r="M65" s="79"/>
      <c r="N65" s="79"/>
      <c r="O65" s="82"/>
    </row>
    <row r="66" spans="1:15" x14ac:dyDescent="0.35">
      <c r="A66" t="s">
        <v>179</v>
      </c>
      <c r="B66" s="56">
        <f>Historicals!B91+Historicals!B90</f>
        <v>-2020</v>
      </c>
      <c r="C66" s="56">
        <f>Historicals!C91+Historicals!C90</f>
        <v>-2731</v>
      </c>
      <c r="D66" s="56">
        <f>Historicals!D91+Historicals!D90</f>
        <v>-2734</v>
      </c>
      <c r="E66" s="56">
        <f>Historicals!E91+Historicals!E90</f>
        <v>-3521</v>
      </c>
      <c r="F66" s="56">
        <f>Historicals!F91+Historicals!F90</f>
        <v>-3586</v>
      </c>
      <c r="G66" s="56">
        <f>Historicals!G91+Historicals!G90</f>
        <v>-2182</v>
      </c>
      <c r="H66" s="56">
        <f>Historicals!H91+Historicals!H90</f>
        <v>564</v>
      </c>
      <c r="I66" s="56">
        <f>Historicals!I91+Historicals!I90</f>
        <v>-2863</v>
      </c>
      <c r="J66" s="56">
        <f>I66</f>
        <v>-2863</v>
      </c>
      <c r="K66" s="56">
        <f>-18000/4</f>
        <v>-4500</v>
      </c>
      <c r="L66" s="56">
        <f t="shared" ref="L66:N66" si="68">-18000/4</f>
        <v>-4500</v>
      </c>
      <c r="M66" s="56">
        <f t="shared" si="68"/>
        <v>-4500</v>
      </c>
      <c r="N66" s="56">
        <f t="shared" si="68"/>
        <v>-4500</v>
      </c>
      <c r="O66" s="84" t="s">
        <v>260</v>
      </c>
    </row>
    <row r="67" spans="1:15" x14ac:dyDescent="0.35">
      <c r="A67" s="76" t="s">
        <v>128</v>
      </c>
      <c r="B67" s="72" t="str">
        <f>+IFERROR(B66/A66-1,"nm")</f>
        <v>nm</v>
      </c>
      <c r="C67" s="72">
        <f t="shared" ref="C67:I67" si="69">+IFERROR(-C66/-B66-1,"nm")</f>
        <v>0.35198019801980207</v>
      </c>
      <c r="D67" s="72">
        <f t="shared" si="69"/>
        <v>1.0984987184181616E-3</v>
      </c>
      <c r="E67" s="72">
        <f t="shared" si="69"/>
        <v>0.28785662033650339</v>
      </c>
      <c r="F67" s="72">
        <f t="shared" si="69"/>
        <v>1.8460664583924924E-2</v>
      </c>
      <c r="G67" s="72">
        <f t="shared" si="69"/>
        <v>-0.39152258784160621</v>
      </c>
      <c r="H67" s="72">
        <f t="shared" si="69"/>
        <v>-1.2584784601283228</v>
      </c>
      <c r="I67" s="72">
        <f t="shared" si="69"/>
        <v>-6.0762411347517729</v>
      </c>
      <c r="J67" s="72">
        <f t="shared" ref="J67" si="70">+IFERROR(-J66/-I66-1,"nm")</f>
        <v>0</v>
      </c>
      <c r="K67" s="72">
        <f>+IFERROR(-K66/-J66-1,"nm")</f>
        <v>0.57177785539643722</v>
      </c>
      <c r="L67" s="72">
        <f t="shared" ref="L67" si="71">+IFERROR(-L66/-K66-1,"nm")</f>
        <v>0</v>
      </c>
      <c r="M67" s="72">
        <f t="shared" ref="M67" si="72">+IFERROR(-M66/-L66-1,"nm")</f>
        <v>0</v>
      </c>
      <c r="N67" s="72">
        <f t="shared" ref="N67" si="73">+IFERROR(-N66/-M66-1,"nm")</f>
        <v>0</v>
      </c>
      <c r="O67" s="82"/>
    </row>
    <row r="68" spans="1:15" x14ac:dyDescent="0.35">
      <c r="A68" t="s">
        <v>180</v>
      </c>
      <c r="B68" s="56">
        <f t="shared" ref="B68:N68" si="74">-B16*B18</f>
        <v>-899.00000000000011</v>
      </c>
      <c r="C68" s="56">
        <f t="shared" si="74"/>
        <v>-1022</v>
      </c>
      <c r="D68" s="56">
        <f t="shared" si="74"/>
        <v>-1133</v>
      </c>
      <c r="E68" s="56">
        <f t="shared" si="74"/>
        <v>-1243</v>
      </c>
      <c r="F68" s="56">
        <f t="shared" si="74"/>
        <v>-1332</v>
      </c>
      <c r="G68" s="56">
        <f t="shared" si="74"/>
        <v>-1452</v>
      </c>
      <c r="H68" s="56">
        <f t="shared" si="74"/>
        <v>-1638.0000000000002</v>
      </c>
      <c r="I68" s="56">
        <f t="shared" si="74"/>
        <v>-1836.9999999999998</v>
      </c>
      <c r="J68" s="56">
        <f t="shared" si="74"/>
        <v>-1815.2169073889033</v>
      </c>
      <c r="K68" s="56">
        <f t="shared" si="74"/>
        <v>-2041.5271412913278</v>
      </c>
      <c r="L68" s="56">
        <f t="shared" si="74"/>
        <v>-2327.8447892916465</v>
      </c>
      <c r="M68" s="56">
        <f t="shared" si="74"/>
        <v>-2688.8759149253101</v>
      </c>
      <c r="N68" s="56">
        <f t="shared" si="74"/>
        <v>-3142.8449126577239</v>
      </c>
      <c r="O68" s="83" t="s">
        <v>250</v>
      </c>
    </row>
    <row r="69" spans="1:15" x14ac:dyDescent="0.35">
      <c r="A69" t="s">
        <v>181</v>
      </c>
      <c r="B69" s="56">
        <f>Historicals!B88+Historicals!B89+Historicals!B87</f>
        <v>-63</v>
      </c>
      <c r="C69" s="56">
        <f>Historicals!C88+Historicals!C89+Historicals!C87</f>
        <v>914</v>
      </c>
      <c r="D69" s="56">
        <f>Historicals!D88+Historicals!D89+Historicals!D87</f>
        <v>1809</v>
      </c>
      <c r="E69" s="56">
        <f>Historicals!E88+Historicals!E89+Historicals!E87</f>
        <v>13</v>
      </c>
      <c r="F69" s="56">
        <f>Historicals!F88+Historicals!F89+Historicals!F87</f>
        <v>-325</v>
      </c>
      <c r="G69" s="56">
        <f>Historicals!G88+Historicals!G89+Historicals!G87</f>
        <v>6183</v>
      </c>
      <c r="H69" s="56">
        <f>Historicals!H88+Historicals!H89+Historicals!H87</f>
        <v>-249</v>
      </c>
      <c r="I69" s="56">
        <f>Historicals!I88+Historicals!I89+Historicals!I87</f>
        <v>15</v>
      </c>
      <c r="J69" s="56">
        <f>(J34-I34)+(J38-I38)</f>
        <v>-500</v>
      </c>
      <c r="K69" s="56">
        <f>(K34-J34)+(K38-J38)</f>
        <v>0</v>
      </c>
      <c r="L69" s="56">
        <f t="shared" ref="L69:N69" si="75">(L34-K34)+(L38-K38)</f>
        <v>0</v>
      </c>
      <c r="M69" s="56">
        <f t="shared" si="75"/>
        <v>0</v>
      </c>
      <c r="N69" s="56">
        <f t="shared" si="75"/>
        <v>0</v>
      </c>
      <c r="O69" s="82"/>
    </row>
    <row r="70" spans="1:15" x14ac:dyDescent="0.35">
      <c r="A70" t="s">
        <v>182</v>
      </c>
      <c r="B70" s="56">
        <f>Historicals!B94-B66-B68-B69+B53</f>
        <v>245.00000000000011</v>
      </c>
      <c r="C70" s="56">
        <f>Historicals!C94-C66-C68-C69+C53</f>
        <v>-65</v>
      </c>
      <c r="D70" s="56">
        <f>Historicals!D94-D66-D68-D69+D53</f>
        <v>8</v>
      </c>
      <c r="E70" s="56">
        <f>Historicals!E94-E66-E68-E69+E53</f>
        <v>41</v>
      </c>
      <c r="F70" s="56">
        <f>Historicals!F94-F66-F68-F69+F53</f>
        <v>103</v>
      </c>
      <c r="G70" s="56">
        <f>Historicals!G94-G66-G68-G69+G53</f>
        <v>82</v>
      </c>
      <c r="H70" s="56">
        <f>Historicals!H94-H66-H68-H69+H53</f>
        <v>157.00000000000023</v>
      </c>
      <c r="I70" s="56">
        <f>Historicals!I94-I66-I68-I69+I53</f>
        <v>138.99999999999977</v>
      </c>
      <c r="J70" s="56"/>
      <c r="K70" s="56"/>
      <c r="L70" s="56"/>
      <c r="M70" s="56"/>
      <c r="N70" s="56"/>
      <c r="O70" s="82"/>
    </row>
    <row r="71" spans="1:15" x14ac:dyDescent="0.35">
      <c r="A71" s="25" t="s">
        <v>183</v>
      </c>
      <c r="B71" s="57">
        <f t="shared" ref="B71:N71" si="76">B66+B68+B69+B70-B53</f>
        <v>-2790</v>
      </c>
      <c r="C71" s="57">
        <f t="shared" si="76"/>
        <v>-2974</v>
      </c>
      <c r="D71" s="57">
        <f t="shared" si="76"/>
        <v>-2148</v>
      </c>
      <c r="E71" s="57">
        <f t="shared" si="76"/>
        <v>-4835</v>
      </c>
      <c r="F71" s="57">
        <f t="shared" si="76"/>
        <v>-5293</v>
      </c>
      <c r="G71" s="57">
        <f t="shared" si="76"/>
        <v>2491</v>
      </c>
      <c r="H71" s="57">
        <f t="shared" si="76"/>
        <v>-1459</v>
      </c>
      <c r="I71" s="57">
        <f t="shared" si="76"/>
        <v>-4836</v>
      </c>
      <c r="J71" s="57">
        <f t="shared" si="76"/>
        <v>-5386.099134530531</v>
      </c>
      <c r="K71" s="57">
        <f t="shared" si="76"/>
        <v>-6749.4093684329555</v>
      </c>
      <c r="L71" s="57">
        <f t="shared" si="76"/>
        <v>-7035.727016433274</v>
      </c>
      <c r="M71" s="57">
        <f t="shared" si="76"/>
        <v>-7396.7581420669376</v>
      </c>
      <c r="N71" s="57">
        <f t="shared" si="76"/>
        <v>-7850.7271397993509</v>
      </c>
      <c r="O71" s="82"/>
    </row>
    <row r="72" spans="1:15" x14ac:dyDescent="0.35">
      <c r="A72" s="12" t="s">
        <v>168</v>
      </c>
      <c r="B72" s="79">
        <f>B71-Historicals!B94</f>
        <v>0</v>
      </c>
      <c r="C72" s="79">
        <f>C71-Historicals!C94</f>
        <v>0</v>
      </c>
      <c r="D72" s="79">
        <f>D71-Historicals!D94</f>
        <v>0</v>
      </c>
      <c r="E72" s="79">
        <f>E71-Historicals!E94</f>
        <v>0</v>
      </c>
      <c r="F72" s="79">
        <f>F71-Historicals!F94</f>
        <v>0</v>
      </c>
      <c r="G72" s="79">
        <f>G71-Historicals!G94</f>
        <v>0</v>
      </c>
      <c r="H72" s="79">
        <f>H71-Historicals!H94</f>
        <v>0</v>
      </c>
      <c r="I72" s="79">
        <f>I71-Historicals!I94</f>
        <v>0</v>
      </c>
      <c r="J72" s="79"/>
      <c r="K72" s="79"/>
      <c r="L72" s="79"/>
      <c r="M72" s="79"/>
      <c r="N72" s="79"/>
      <c r="O72" s="82"/>
    </row>
    <row r="73" spans="1:15" x14ac:dyDescent="0.35">
      <c r="A73" t="s">
        <v>184</v>
      </c>
      <c r="B73" s="56">
        <f>Historicals!B95</f>
        <v>-83</v>
      </c>
      <c r="C73" s="56">
        <f>Historicals!C95</f>
        <v>-105</v>
      </c>
      <c r="D73" s="56">
        <f>Historicals!D95</f>
        <v>-20</v>
      </c>
      <c r="E73" s="56">
        <f>Historicals!E95</f>
        <v>45</v>
      </c>
      <c r="F73" s="56">
        <f>Historicals!F95</f>
        <v>-129</v>
      </c>
      <c r="G73" s="56">
        <f>Historicals!G95</f>
        <v>-66</v>
      </c>
      <c r="H73" s="56">
        <f>Historicals!H95</f>
        <v>143</v>
      </c>
      <c r="I73" s="56">
        <f>Historicals!I95</f>
        <v>-143</v>
      </c>
      <c r="J73" s="80"/>
      <c r="K73" s="80"/>
      <c r="L73" s="80"/>
      <c r="M73" s="80"/>
      <c r="N73" s="80"/>
      <c r="O73" s="81" t="s">
        <v>259</v>
      </c>
    </row>
    <row r="74" spans="1:15" x14ac:dyDescent="0.35">
      <c r="A74" s="25" t="s">
        <v>185</v>
      </c>
      <c r="B74" s="57">
        <f t="shared" ref="B74:N74" si="77">B60+B64+B71+B73</f>
        <v>1632</v>
      </c>
      <c r="C74" s="57">
        <f t="shared" si="77"/>
        <v>-714</v>
      </c>
      <c r="D74" s="57">
        <f t="shared" si="77"/>
        <v>670</v>
      </c>
      <c r="E74" s="57">
        <f t="shared" si="77"/>
        <v>441</v>
      </c>
      <c r="F74" s="57">
        <f t="shared" si="77"/>
        <v>217</v>
      </c>
      <c r="G74" s="57">
        <f t="shared" si="77"/>
        <v>3882</v>
      </c>
      <c r="H74" s="57">
        <f t="shared" si="77"/>
        <v>1541</v>
      </c>
      <c r="I74" s="57">
        <f t="shared" si="77"/>
        <v>-1315</v>
      </c>
      <c r="J74" s="57">
        <f>J60+J64+J71+J73</f>
        <v>882.06037998653028</v>
      </c>
      <c r="K74" s="57">
        <f t="shared" si="77"/>
        <v>-604.36756349001553</v>
      </c>
      <c r="L74" s="57">
        <f t="shared" si="77"/>
        <v>-56.436251468082446</v>
      </c>
      <c r="M74" s="57">
        <f t="shared" si="77"/>
        <v>633.74342471692398</v>
      </c>
      <c r="N74" s="57">
        <f t="shared" si="77"/>
        <v>1496.4436514683084</v>
      </c>
      <c r="O74" s="82"/>
    </row>
    <row r="75" spans="1:15" x14ac:dyDescent="0.35">
      <c r="A75" t="s">
        <v>186</v>
      </c>
      <c r="B75" s="56">
        <f>Historicals!B97</f>
        <v>2220</v>
      </c>
      <c r="C75" s="56">
        <f t="shared" ref="C75:H75" si="78">B76</f>
        <v>3852</v>
      </c>
      <c r="D75" s="56">
        <f t="shared" si="78"/>
        <v>3138</v>
      </c>
      <c r="E75" s="56">
        <f t="shared" si="78"/>
        <v>3808</v>
      </c>
      <c r="F75" s="56">
        <f t="shared" si="78"/>
        <v>4249</v>
      </c>
      <c r="G75" s="56">
        <f t="shared" si="78"/>
        <v>4466</v>
      </c>
      <c r="H75" s="56">
        <f t="shared" si="78"/>
        <v>8348</v>
      </c>
      <c r="I75" s="56">
        <f>H76</f>
        <v>9889</v>
      </c>
      <c r="J75" s="56">
        <f t="shared" ref="J75:N75" si="79">I76</f>
        <v>8574</v>
      </c>
      <c r="K75" s="56">
        <f>J76</f>
        <v>9456.0603799865312</v>
      </c>
      <c r="L75" s="56">
        <f t="shared" si="79"/>
        <v>8851.6928164965157</v>
      </c>
      <c r="M75" s="56">
        <f t="shared" si="79"/>
        <v>8795.2565650284341</v>
      </c>
      <c r="N75" s="56">
        <f t="shared" si="79"/>
        <v>9428.9999897453581</v>
      </c>
      <c r="O75" s="82"/>
    </row>
    <row r="76" spans="1:15" ht="15" thickBot="1" x14ac:dyDescent="0.4">
      <c r="A76" s="6" t="s">
        <v>187</v>
      </c>
      <c r="B76" s="58">
        <f t="shared" ref="B76:H76" si="80">B74+B75</f>
        <v>3852</v>
      </c>
      <c r="C76" s="58">
        <f t="shared" si="80"/>
        <v>3138</v>
      </c>
      <c r="D76" s="58">
        <f t="shared" si="80"/>
        <v>3808</v>
      </c>
      <c r="E76" s="58">
        <f t="shared" si="80"/>
        <v>4249</v>
      </c>
      <c r="F76" s="58">
        <f t="shared" si="80"/>
        <v>4466</v>
      </c>
      <c r="G76" s="58">
        <f t="shared" si="80"/>
        <v>8348</v>
      </c>
      <c r="H76" s="58">
        <f t="shared" si="80"/>
        <v>9889</v>
      </c>
      <c r="I76" s="58">
        <f>I74+I75</f>
        <v>8574</v>
      </c>
      <c r="J76" s="58">
        <f>J74+J75</f>
        <v>9456.0603799865312</v>
      </c>
      <c r="K76" s="58">
        <f t="shared" ref="K76:N76" si="81">K74+K75</f>
        <v>8851.6928164965157</v>
      </c>
      <c r="L76" s="58">
        <f t="shared" si="81"/>
        <v>8795.2565650284341</v>
      </c>
      <c r="M76" s="58">
        <f t="shared" si="81"/>
        <v>9428.9999897453581</v>
      </c>
      <c r="N76" s="58">
        <f t="shared" si="81"/>
        <v>10925.443641213667</v>
      </c>
      <c r="O76" s="82"/>
    </row>
    <row r="77" spans="1:15" ht="15" thickTop="1" x14ac:dyDescent="0.35">
      <c r="A77" s="12" t="s">
        <v>168</v>
      </c>
      <c r="B77" s="79">
        <f t="shared" ref="B77:N77" si="82">+B76-B22</f>
        <v>0</v>
      </c>
      <c r="C77" s="79">
        <f t="shared" si="82"/>
        <v>0</v>
      </c>
      <c r="D77" s="79">
        <f t="shared" si="82"/>
        <v>0</v>
      </c>
      <c r="E77" s="79">
        <f t="shared" si="82"/>
        <v>0</v>
      </c>
      <c r="F77" s="79">
        <f t="shared" si="82"/>
        <v>0</v>
      </c>
      <c r="G77" s="79">
        <f t="shared" si="82"/>
        <v>0</v>
      </c>
      <c r="H77" s="79">
        <f t="shared" si="82"/>
        <v>0</v>
      </c>
      <c r="I77" s="79">
        <f>+I76-I22</f>
        <v>0</v>
      </c>
      <c r="J77" s="79">
        <f>+J76-J22</f>
        <v>0</v>
      </c>
      <c r="K77" s="79">
        <f t="shared" si="82"/>
        <v>0</v>
      </c>
      <c r="L77" s="79">
        <f t="shared" si="82"/>
        <v>0</v>
      </c>
      <c r="M77" s="79">
        <f t="shared" si="82"/>
        <v>0</v>
      </c>
      <c r="N77" s="79">
        <f t="shared" si="82"/>
        <v>0</v>
      </c>
      <c r="O77" s="82"/>
    </row>
    <row r="78" spans="1:15" x14ac:dyDescent="0.35">
      <c r="A78" s="1" t="s">
        <v>188</v>
      </c>
      <c r="B78" s="41">
        <f t="shared" ref="B78:N78" si="83">(B35+B39)-(B23+23)</f>
        <v>-1988</v>
      </c>
      <c r="C78" s="41">
        <f t="shared" si="83"/>
        <v>-2298</v>
      </c>
      <c r="D78" s="41">
        <f t="shared" si="83"/>
        <v>-2388</v>
      </c>
      <c r="E78" s="41">
        <f t="shared" si="83"/>
        <v>-1013</v>
      </c>
      <c r="F78" s="41">
        <f t="shared" si="83"/>
        <v>-214</v>
      </c>
      <c r="G78" s="41">
        <f t="shared" si="83"/>
        <v>2454</v>
      </c>
      <c r="H78" s="41">
        <f t="shared" si="83"/>
        <v>-679</v>
      </c>
      <c r="I78" s="41">
        <f>(I35+I39)-(I23+23)</f>
        <v>-1169</v>
      </c>
      <c r="J78" s="41">
        <f t="shared" si="83"/>
        <v>-1669</v>
      </c>
      <c r="K78" s="41">
        <f t="shared" si="83"/>
        <v>-1669</v>
      </c>
      <c r="L78" s="41">
        <f t="shared" si="83"/>
        <v>-1669</v>
      </c>
      <c r="M78" s="41">
        <f t="shared" si="83"/>
        <v>-1669</v>
      </c>
      <c r="N78" s="41">
        <f t="shared" si="83"/>
        <v>-1669</v>
      </c>
      <c r="O78" s="82"/>
    </row>
    <row r="79" spans="1:15" x14ac:dyDescent="0.35">
      <c r="B79" s="52"/>
      <c r="C79" s="52"/>
      <c r="D79" s="52"/>
      <c r="E79" s="52"/>
      <c r="F79" s="52"/>
      <c r="G79" s="52"/>
      <c r="H79" s="52"/>
      <c r="I79" s="52"/>
    </row>
  </sheetData>
  <mergeCells count="3">
    <mergeCell ref="O34:O40"/>
    <mergeCell ref="O3:O9"/>
    <mergeCell ref="O13:O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David Rapicano</cp:lastModifiedBy>
  <dcterms:created xsi:type="dcterms:W3CDTF">2020-05-20T17:26:08Z</dcterms:created>
  <dcterms:modified xsi:type="dcterms:W3CDTF">2023-08-25T15:20:41Z</dcterms:modified>
</cp:coreProperties>
</file>