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19368" windowHeight="9072" activeTab="2"/>
  </bookViews>
  <sheets>
    <sheet name="Instructions" sheetId="2" r:id="rId1"/>
    <sheet name="Financial Statements" sheetId="1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3" l="1"/>
  <c r="E50" i="3"/>
  <c r="C50" i="3"/>
  <c r="C51" i="3"/>
  <c r="E51" i="3"/>
  <c r="D51" i="3"/>
  <c r="D49" i="3"/>
  <c r="E49" i="3"/>
  <c r="C49" i="3"/>
  <c r="D48" i="3"/>
  <c r="E48" i="3"/>
  <c r="C48" i="3"/>
  <c r="D47" i="3"/>
  <c r="E47" i="3"/>
  <c r="C47" i="3"/>
  <c r="D46" i="3"/>
  <c r="E46" i="3"/>
  <c r="C46" i="3"/>
  <c r="D44" i="3"/>
  <c r="E44" i="3"/>
  <c r="C44" i="3"/>
  <c r="D43" i="3"/>
  <c r="E43" i="3"/>
  <c r="C43" i="3"/>
  <c r="D42" i="3"/>
  <c r="E42" i="3"/>
  <c r="C42" i="3"/>
  <c r="D61" i="3"/>
  <c r="E61" i="3"/>
  <c r="C61" i="3"/>
  <c r="D60" i="3"/>
  <c r="E60" i="3"/>
  <c r="C60" i="3"/>
  <c r="D59" i="3"/>
  <c r="E59" i="3"/>
  <c r="C59" i="3"/>
  <c r="D58" i="3"/>
  <c r="E58" i="3"/>
  <c r="C58" i="3"/>
  <c r="D57" i="3"/>
  <c r="E57" i="3"/>
  <c r="C57" i="3"/>
  <c r="D56" i="3"/>
  <c r="E56" i="3"/>
  <c r="C56" i="3"/>
  <c r="D55" i="3"/>
  <c r="E55" i="3"/>
  <c r="C55" i="3"/>
  <c r="D54" i="3"/>
  <c r="E54" i="3"/>
  <c r="C54" i="3"/>
  <c r="D41" i="3"/>
  <c r="E41" i="3"/>
  <c r="C41" i="3"/>
  <c r="D37" i="3"/>
  <c r="E37" i="3"/>
  <c r="C37" i="3"/>
  <c r="D36" i="3"/>
  <c r="E36" i="3"/>
  <c r="C36" i="3"/>
  <c r="D35" i="3"/>
  <c r="E35" i="3"/>
  <c r="C35" i="3"/>
  <c r="D34" i="3"/>
  <c r="E34" i="3"/>
  <c r="C34" i="3"/>
  <c r="D28" i="3"/>
  <c r="E28" i="3"/>
  <c r="C28" i="3"/>
  <c r="D27" i="3"/>
  <c r="E27" i="3"/>
  <c r="C27" i="3"/>
  <c r="D26" i="3"/>
  <c r="E26" i="3"/>
  <c r="C26" i="3"/>
  <c r="D25" i="3"/>
  <c r="E25" i="3"/>
  <c r="C25" i="3"/>
  <c r="D22" i="3"/>
  <c r="E22" i="3"/>
  <c r="C22" i="3"/>
  <c r="D20" i="3"/>
  <c r="E20" i="3"/>
  <c r="C20" i="3"/>
  <c r="D18" i="3"/>
  <c r="E18" i="3"/>
  <c r="C18" i="3"/>
  <c r="D21" i="3"/>
  <c r="E21" i="3"/>
  <c r="C21" i="3"/>
  <c r="D19" i="3"/>
  <c r="E19" i="3"/>
  <c r="C19" i="3"/>
  <c r="D17" i="3"/>
  <c r="E17" i="3"/>
  <c r="C17" i="3"/>
  <c r="D13" i="3"/>
  <c r="E13" i="3"/>
  <c r="C13" i="3"/>
  <c r="D14" i="3"/>
  <c r="E14" i="3"/>
  <c r="C14" i="3"/>
  <c r="D12" i="3"/>
  <c r="E12" i="3"/>
  <c r="C12" i="3"/>
  <c r="E11" i="3"/>
  <c r="D11" i="3"/>
  <c r="C11" i="3"/>
  <c r="E10" i="3"/>
  <c r="D10" i="3"/>
  <c r="C10" i="3"/>
  <c r="E9" i="3"/>
  <c r="D9" i="3"/>
  <c r="C9" i="3"/>
  <c r="E8" i="3"/>
  <c r="D8" i="3"/>
  <c r="C8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B18" i="1" l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5" i="3"/>
  <c r="A6" i="3" s="1"/>
  <c r="A7" i="3" s="1"/>
  <c r="A8" i="3" s="1"/>
  <c r="A9" i="3" s="1"/>
  <c r="A10" i="3" s="1"/>
  <c r="A11" i="3" s="1"/>
  <c r="A12" i="3" s="1"/>
  <c r="A13" i="3" s="1"/>
  <c r="A17" i="3" l="1"/>
  <c r="A18" i="3" s="1"/>
  <c r="A20" i="3" s="1"/>
  <c r="A22" i="3" s="1"/>
  <c r="A24" i="3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<sst xmlns="http://schemas.openxmlformats.org/spreadsheetml/2006/main" count="216" uniqueCount="192">
  <si>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</si>
  <si>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</si>
  <si>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</si>
  <si>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</si>
  <si>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</si>
  <si>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</si>
  <si>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</si>
  <si>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</si>
  <si>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</si>
  <si>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</si>
  <si>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</si>
  <si>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</si>
  <si>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</si>
  <si>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</si>
  <si>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</si>
  <si>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</si>
  <si>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</si>
  <si>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</si>
  <si>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</si>
  <si>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</si>
  <si>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</si>
  <si>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</si>
  <si>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</si>
  <si>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</si>
  <si>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</si>
  <si>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</si>
  <si>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</si>
  <si>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</si>
  <si>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</si>
  <si>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</si>
  <si>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</si>
  <si>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</si>
  <si>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</si>
  <si>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</si>
  <si>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</si>
  <si>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</si>
  <si>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</si>
  <si>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</si>
  <si>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</si>
  <si>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</si>
  <si>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</si>
  <si>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</si>
  <si>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</si>
  <si>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</si>
  <si>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</si>
  <si>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</si>
  <si>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</si>
  <si>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</si>
  <si>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</si>
  <si>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</si>
  <si>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</si>
  <si>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</si>
  <si>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</si>
  <si>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</si>
  <si>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</si>
  <si>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</si>
  <si>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</si>
  <si>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</si>
  <si>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</si>
  <si>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</si>
  <si>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</si>
  <si>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</si>
  <si>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</si>
  <si>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</si>
  <si>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</si>
  <si>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</si>
  <si>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</si>
  <si>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</si>
  <si>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</si>
  <si>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</si>
  <si>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</si>
  <si>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</si>
  <si>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</si>
  <si>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</si>
  <si>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</si>
  <si>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</si>
  <si>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</si>
  <si>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</si>
  <si>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</si>
  <si>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</si>
  <si>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</si>
  <si>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</si>
  <si>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</si>
  <si>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</si>
  <si>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</si>
  <si>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</si>
  <si>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</si>
  <si>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</si>
  <si>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</si>
  <si>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</si>
  <si>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</si>
  <si>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</si>
  <si>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</si>
  <si>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</si>
  <si>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</si>
  <si>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</si>
  <si>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</si>
  <si>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</si>
  <si>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</si>
  <si>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</si>
  <si>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</si>
  <si>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</si>
  <si>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</si>
  <si>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</si>
  <si>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</si>
  <si>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</si>
  <si>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</si>
  <si>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</si>
  <si>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</si>
  <si>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</si>
  <si>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</si>
  <si>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</si>
  <si>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</si>
  <si>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</si>
  <si>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</si>
  <si>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</si>
  <si>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</si>
  <si>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</si>
  <si>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</si>
  <si>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</si>
  <si>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</si>
  <si>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</si>
  <si>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</si>
  <si>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</si>
  <si>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</si>
  <si>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</si>
  <si>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</si>
  <si>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</si>
  <si>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</si>
  <si>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</si>
  <si>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</si>
  <si>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</si>
  <si>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</si>
  <si>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</si>
  <si>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</si>
  <si>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</si>
  <si>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</si>
  <si>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</si>
  <si>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</si>
  <si>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</si>
  <si>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</si>
  <si>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</si>
  <si>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</si>
  <si>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</si>
  <si>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</si>
  <si>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</si>
  <si>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</si>
  <si>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</si>
  <si>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</si>
  <si>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</si>
  <si>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Days</t>
  </si>
  <si>
    <t>Growth Margins</t>
  </si>
  <si>
    <t>Sales - Products</t>
  </si>
  <si>
    <t>Sales - Services</t>
  </si>
  <si>
    <t>Net Sales</t>
  </si>
  <si>
    <t>Gross Profit</t>
  </si>
  <si>
    <t>Research &amp; Development</t>
  </si>
  <si>
    <t>Selling,General, &amp; Administrative</t>
  </si>
  <si>
    <t>Operating Income</t>
  </si>
  <si>
    <t>Net Profit</t>
  </si>
  <si>
    <t>Income Tax Rate</t>
  </si>
  <si>
    <t>Capex as Percentage of Sales</t>
  </si>
  <si>
    <t>Capex as Percentage of Fixed Assets</t>
  </si>
  <si>
    <t>Include marketable securities as well for the numerator</t>
  </si>
  <si>
    <t>Current Assets / Daily Operational Expenses, where Daily Operational Expenses = (Annual Operating Expenses - Noncash Charges) / 365</t>
  </si>
  <si>
    <t>EBITDA = Operating income + Depreciation &amp; amortization</t>
  </si>
  <si>
    <t>Net income/Sales revenue</t>
  </si>
  <si>
    <t>Term debt (under long term liabilities)/Total shareholder equity</t>
  </si>
  <si>
    <t>Include only long term debt other items are not considered long term debt, rather they are liabilities</t>
  </si>
  <si>
    <t>For debt link only long term debt other items are not considered long term debt, rather they are liabilities</t>
  </si>
  <si>
    <t>Net Operating Income/ Interest payments (can be found at the bottom of cash flow)</t>
  </si>
  <si>
    <t>Net Operating Income/ (Interest + Debt repayment)</t>
  </si>
  <si>
    <t>Cash flow from operations - Capex + Debt issuance</t>
  </si>
  <si>
    <t>FCFE/Diluted number of shares</t>
  </si>
  <si>
    <t>Net income/Total assets</t>
  </si>
  <si>
    <t>Share price/Diluted EPS</t>
  </si>
  <si>
    <t>Link diluted EPS</t>
  </si>
  <si>
    <t>Total shareholder equity/Diluted number of shares and divide this number by 1000, because equity is in millions and share count is an absolute value</t>
  </si>
  <si>
    <t>Share price/BV per share</t>
  </si>
  <si>
    <t>Dividend per share/EPS</t>
  </si>
  <si>
    <t>Dividend paid (in cash flow statement)/Diluted number of shares and divide this number by 1000,</t>
  </si>
  <si>
    <t>DPS/Share price</t>
  </si>
  <si>
    <t>Net income/Shareholder equity</t>
  </si>
  <si>
    <t>Use only Shareholder equity and Term debt for capital employed. Other items are not actual capital</t>
  </si>
  <si>
    <t>Don’t multiply the amount by 100, use % formatting instead</t>
  </si>
  <si>
    <t>Growth = (Current year value - Prior year value)/Prior year value</t>
  </si>
  <si>
    <t>Margin = Value/Total revenue</t>
  </si>
  <si>
    <t>Income tax charge/Income before tax</t>
  </si>
  <si>
    <t>Purchase of PPE (in cash flow)/Sales revenue</t>
  </si>
  <si>
    <t>Purchase of PPE (in cash flow)/Property plant &amp; equipment</t>
  </si>
  <si>
    <t>Market capitalization  + Long term debt - Cash &amp; cash equivalents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</si>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</sst>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0" fillId="0" borderId="0" xfId="0" applyNumberFormat="1"/>
    <xf numFmtId="0" fontId="0" fillId="0" borderId="0" xfId="0"/>
    <xf numFmtId="0" fontId="8" fillId="2" borderId="0" xfId="0" applyFont="1" applyFill="1" applyAlignment="1">
      <alignment horizontal="center"/>
    </xf>
  </cellXfs>
  <cellStyles count="4">
    <cellStyle name="Comma" xfId="1" builtinId="3"/>
    <cellStyle name="Comma 2" xf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8" workbookViewId="0">
      <selection activeCell="A27" sqref="A27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workbookViewId="0">
      <selection activeCell="C1" sqref="C1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4" t="s">
        <v>1</v>
      </c>
      <c r="B2" s="24"/>
      <c r="C2" s="24"/>
      <c r="D2" s="24"/>
    </row>
    <row r="3" spans="1:10" x14ac:dyDescent="0.3">
      <c r="B3" s="23" t="s">
        <v>23</v>
      </c>
      <c r="C3" s="23"/>
      <c r="D3" s="23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  <c r="H5" s="7" t="s">
        <v>150</v>
      </c>
      <c r="I5">
        <v>366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  <c r="I6">
        <v>365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4" t="s">
        <v>24</v>
      </c>
      <c r="B31" s="24"/>
      <c r="C31" s="24"/>
      <c r="D31" s="24"/>
    </row>
    <row r="32" spans="1:4" x14ac:dyDescent="0.3">
      <c r="B32" s="23" t="s">
        <v>142</v>
      </c>
      <c r="C32" s="23"/>
      <c r="D32" s="23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4" t="s">
        <v>55</v>
      </c>
      <c r="B71" s="24"/>
      <c r="C71" s="24"/>
      <c r="D71" s="24"/>
    </row>
    <row r="72" spans="1:4" x14ac:dyDescent="0.3">
      <c r="B72" s="23" t="s">
        <v>23</v>
      </c>
      <c r="C72" s="23"/>
      <c r="D72" s="23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F1" sqref="F1"/>
    </sheetView>
  </sheetViews>
  <sheetFormatPr defaultRowHeight="14.4" x14ac:dyDescent="0.3"/>
  <cols>
    <col min="1" max="1" width="4.6640625" customWidth="1"/>
    <col min="2" max="2" width="44.88671875" customWidth="1"/>
    <col min="3" max="3" width="12.5546875" bestFit="1" customWidth="1"/>
    <col min="4" max="5" width="13.6640625" bestFit="1" customWidth="1"/>
    <col min="6" max="6" width="43.55468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27" t="s">
        <v>191</v>
      </c>
      <c r="G1" s="19"/>
      <c r="H1" s="19"/>
      <c r="I1" s="19"/>
      <c r="J1" s="19"/>
    </row>
    <row r="2" spans="1:10" x14ac:dyDescent="0.3">
      <c r="C2" s="23" t="s">
        <v>23</v>
      </c>
      <c r="D2" s="23"/>
      <c r="E2" s="23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5">
        <f>'Financial Statements'!B42/'Financial Statements'!B56</f>
        <v>0.87935602862672257</v>
      </c>
      <c r="D5" s="25">
        <f>'Financial Statements'!C42/'Financial Statements'!C56</f>
        <v>1.0745531195957954</v>
      </c>
      <c r="E5" s="25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5">
        <f>('Financial Statements'!B36+'Financial Statements'!B38)/'Financial Statements'!B56</f>
        <v>0.33659778415658975</v>
      </c>
      <c r="D6" s="25">
        <f>('Financial Statements'!C36+'Financial Statements'!C38)/'Financial Statements'!C56</f>
        <v>0.48786668898080188</v>
      </c>
      <c r="E6" s="25">
        <f>('Financial Statements'!D36+'Financial Statements'!D38)/'Financial Statements'!D56</f>
        <v>0.51366327614999241</v>
      </c>
      <c r="F6" t="s">
        <v>163</v>
      </c>
    </row>
    <row r="7" spans="1:10" x14ac:dyDescent="0.3">
      <c r="A7" s="18">
        <f t="shared" si="0"/>
        <v>1.3000000000000003</v>
      </c>
      <c r="B7" s="1" t="s">
        <v>102</v>
      </c>
      <c r="C7" s="25">
        <f>'Financial Statements'!B36/'Financial Statements'!B56</f>
        <v>0.15356340351469652</v>
      </c>
      <c r="D7" s="25">
        <f>'Financial Statements'!C36/'Financial Statements'!C56</f>
        <v>0.27844853005634318</v>
      </c>
      <c r="E7" s="25">
        <f>'Financial Statements'!D36/'Financial Statements'!D56</f>
        <v>0.36071049035979963</v>
      </c>
    </row>
    <row r="8" spans="1:10" x14ac:dyDescent="0.3">
      <c r="A8" s="18">
        <f t="shared" si="0"/>
        <v>1.4000000000000004</v>
      </c>
      <c r="B8" s="1" t="s">
        <v>103</v>
      </c>
      <c r="C8" s="25">
        <f>'Financial Statements'!B42/('Financial Statements'!B17/'Financial Statements'!I5)</f>
        <v>965.20070113935151</v>
      </c>
      <c r="D8" s="25">
        <f>'Financial Statements'!C42/('Financial Statements'!C17/'Financial Statements'!I6)</f>
        <v>1121.4058832911796</v>
      </c>
      <c r="E8" s="25">
        <f>'Financial Statements'!D42/('Financial Statements'!D17/'Financial Statements'!I6)</f>
        <v>1356.5543860556534</v>
      </c>
      <c r="F8" t="s">
        <v>164</v>
      </c>
    </row>
    <row r="9" spans="1:10" x14ac:dyDescent="0.3">
      <c r="A9" s="18">
        <f t="shared" si="0"/>
        <v>1.5000000000000004</v>
      </c>
      <c r="B9" s="1" t="s">
        <v>104</v>
      </c>
      <c r="C9" s="25">
        <f>('Financial Statements'!B39/'Financial Statements'!B12)*'Financial Statements'!I5</f>
        <v>8.0978232667996739</v>
      </c>
      <c r="D9" s="25">
        <f>('Financial Statements'!C39/'Financial Statements'!C12)*'Financial Statements'!I6</f>
        <v>11.27659274770989</v>
      </c>
      <c r="E9" s="25">
        <f>('Financial Statements'!D39/'Financial Statements'!D12)*'Financial Statements'!I6</f>
        <v>8.7418833562358831</v>
      </c>
    </row>
    <row r="10" spans="1:10" x14ac:dyDescent="0.3">
      <c r="A10" s="18">
        <f t="shared" si="0"/>
        <v>1.6000000000000005</v>
      </c>
      <c r="B10" s="1" t="s">
        <v>105</v>
      </c>
      <c r="C10" s="25">
        <f>('Financial Statements'!B51/'Financial Statements'!B12)*'Financial Statements'!I5</f>
        <v>104.97208628201801</v>
      </c>
      <c r="D10" s="25">
        <f>('Financial Statements'!C51/'Financial Statements'!C12)*'Financial Statements'!I6</f>
        <v>93.851071222315596</v>
      </c>
      <c r="E10" s="25">
        <f>('Financial Statements'!D51/'Financial Statements'!D12)*'Financial Statements'!I6</f>
        <v>91.048189715674198</v>
      </c>
    </row>
    <row r="11" spans="1:10" x14ac:dyDescent="0.3">
      <c r="A11" s="18">
        <f t="shared" si="0"/>
        <v>1.7000000000000006</v>
      </c>
      <c r="B11" s="1" t="s">
        <v>106</v>
      </c>
      <c r="C11" s="25">
        <f>('Financial Statements'!B38/'Financial Statements'!B12)*'Financial Statements'!I5</f>
        <v>46.144167196013342</v>
      </c>
      <c r="D11" s="25">
        <f>('Financial Statements'!C38/'Financial Statements'!C12)*'Financial Statements'!I6</f>
        <v>45.034392739258436</v>
      </c>
      <c r="E11" s="25">
        <f>('Financial Statements'!D38/'Financial Statements'!D12)*'Financial Statements'!I6</f>
        <v>34.700605688875257</v>
      </c>
    </row>
    <row r="12" spans="1:10" x14ac:dyDescent="0.3">
      <c r="A12" s="18">
        <f t="shared" si="0"/>
        <v>1.8000000000000007</v>
      </c>
      <c r="B12" s="1" t="s">
        <v>107</v>
      </c>
      <c r="C12" s="25">
        <f>(C11+C9)-C10</f>
        <v>-50.730095819204998</v>
      </c>
      <c r="D12" s="25">
        <f t="shared" ref="D12:E12" si="1">(D11+D9)-D10</f>
        <v>-37.540085735347269</v>
      </c>
      <c r="E12" s="25">
        <f t="shared" si="1"/>
        <v>-47.60570067056306</v>
      </c>
    </row>
    <row r="13" spans="1:10" x14ac:dyDescent="0.3">
      <c r="A13" s="18">
        <f t="shared" si="0"/>
        <v>1.9000000000000008</v>
      </c>
      <c r="B13" s="1" t="s">
        <v>108</v>
      </c>
      <c r="C13" s="25">
        <f>D14/'Financial Statements'!B8*100</f>
        <v>2.3723904972510192</v>
      </c>
      <c r="D13" s="25">
        <f>E14/'Financial Statements'!C8*100</f>
        <v>10.475456307388667</v>
      </c>
      <c r="E13" s="25">
        <f>F14/'Financial Statements'!D8*100</f>
        <v>0</v>
      </c>
    </row>
    <row r="14" spans="1:10" x14ac:dyDescent="0.3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6" x14ac:dyDescent="0.3">
      <c r="A17" s="18">
        <f>+A16+0.1</f>
        <v>2.1</v>
      </c>
      <c r="B17" s="1" t="s">
        <v>9</v>
      </c>
      <c r="C17">
        <f>'Financial Statements'!B13*(100/'Financial Statements'!B8)</f>
        <v>43.309630561360088</v>
      </c>
      <c r="D17">
        <f>'Financial Statements'!C13*(100/'Financial Statements'!C8)</f>
        <v>41.779359625167771</v>
      </c>
      <c r="E17">
        <f>'Financial Statements'!D13*(100/'Financial Statements'!D8)</f>
        <v>38.233247727810863</v>
      </c>
    </row>
    <row r="18" spans="1:6" x14ac:dyDescent="0.3">
      <c r="A18" s="18">
        <f>+A17+0.1</f>
        <v>2.2000000000000002</v>
      </c>
      <c r="B18" s="1" t="s">
        <v>111</v>
      </c>
      <c r="C18">
        <f>(C19/'Financial Statements'!B8)*100</f>
        <v>30.288744395528592</v>
      </c>
      <c r="D18">
        <f>(D19/'Financial Statements'!C8)*100</f>
        <v>29.782377527561593</v>
      </c>
      <c r="E18">
        <f>(E19/'Financial Statements'!D8)*100</f>
        <v>24.147314354406863</v>
      </c>
    </row>
    <row r="19" spans="1:6" x14ac:dyDescent="0.3">
      <c r="A19" s="18"/>
      <c r="B19" s="3" t="s">
        <v>112</v>
      </c>
      <c r="C19">
        <f>'Financial Statements'!B18</f>
        <v>119437</v>
      </c>
      <c r="D19">
        <f>'Financial Statements'!C18</f>
        <v>108949</v>
      </c>
      <c r="E19">
        <f>'Financial Statements'!D18</f>
        <v>66288</v>
      </c>
      <c r="F19" t="s">
        <v>165</v>
      </c>
    </row>
    <row r="20" spans="1:6" x14ac:dyDescent="0.3">
      <c r="A20" s="18">
        <f>+A18+0.1</f>
        <v>2.3000000000000003</v>
      </c>
      <c r="B20" s="1" t="s">
        <v>113</v>
      </c>
      <c r="C20">
        <f>(C21/'Financial Statements'!B8)*100</f>
        <v>43.309630561360088</v>
      </c>
      <c r="D20">
        <f>(D21/'Financial Statements'!C8)*100</f>
        <v>41.779359625167778</v>
      </c>
      <c r="E20">
        <f>(E21/'Financial Statements'!D8)*100</f>
        <v>38.233247727810863</v>
      </c>
    </row>
    <row r="21" spans="1:6" x14ac:dyDescent="0.3">
      <c r="A21" s="18"/>
      <c r="B21" s="3" t="s">
        <v>114</v>
      </c>
      <c r="C21">
        <f>(C19+'Financial Statements'!B17)</f>
        <v>170782</v>
      </c>
      <c r="D21">
        <f>(D19+'Financial Statements'!C17)</f>
        <v>152836</v>
      </c>
      <c r="E21">
        <f>(E19+'Financial Statements'!D17)</f>
        <v>104956</v>
      </c>
      <c r="F21" t="s">
        <v>14</v>
      </c>
    </row>
    <row r="22" spans="1:6" x14ac:dyDescent="0.3">
      <c r="A22" s="18">
        <f>+A20+0.1</f>
        <v>2.4000000000000004</v>
      </c>
      <c r="B22" s="1" t="s">
        <v>115</v>
      </c>
      <c r="C22">
        <f>C18+C20</f>
        <v>73.598374956888676</v>
      </c>
      <c r="D22">
        <f t="shared" ref="D22:E22" si="2">D18+D20</f>
        <v>71.561737152729364</v>
      </c>
      <c r="E22">
        <f t="shared" si="2"/>
        <v>62.380562082217722</v>
      </c>
      <c r="F22" t="s">
        <v>166</v>
      </c>
    </row>
    <row r="23" spans="1:6" x14ac:dyDescent="0.3">
      <c r="A23" s="18"/>
    </row>
    <row r="24" spans="1:6" x14ac:dyDescent="0.3">
      <c r="A24" s="18">
        <f>+A16+1</f>
        <v>3</v>
      </c>
      <c r="B24" s="7" t="s">
        <v>116</v>
      </c>
    </row>
    <row r="25" spans="1:6" x14ac:dyDescent="0.3">
      <c r="A25" s="18">
        <f>+A24+0.1</f>
        <v>3.1</v>
      </c>
      <c r="B25" s="1" t="s">
        <v>117</v>
      </c>
      <c r="C25">
        <f>'Financial Statements'!B62/'Financial Statements'!B68</f>
        <v>5.9615369434796337</v>
      </c>
      <c r="D25">
        <f>'Financial Statements'!C62/'Financial Statements'!C68</f>
        <v>4.5635124425423994</v>
      </c>
      <c r="E25">
        <f>'Financial Statements'!D62/'Financial Statements'!D68</f>
        <v>3.9570394404566951</v>
      </c>
      <c r="F25" t="s">
        <v>167</v>
      </c>
    </row>
    <row r="26" spans="1:6" x14ac:dyDescent="0.3">
      <c r="A26" s="18">
        <f t="shared" ref="A26:A30" si="3">+A25+0.1</f>
        <v>3.2</v>
      </c>
      <c r="B26" s="1" t="s">
        <v>118</v>
      </c>
      <c r="C26">
        <f>'Financial Statements'!B62/'Financial Statements'!B48</f>
        <v>0.85635355983614692</v>
      </c>
      <c r="D26">
        <f>'Financial Statements'!C62/'Financial Statements'!C48</f>
        <v>0.82025743443057308</v>
      </c>
      <c r="E26">
        <f>'Financial Statements'!D62/'Financial Statements'!D48</f>
        <v>0.79826668477992391</v>
      </c>
      <c r="F26" t="s">
        <v>168</v>
      </c>
    </row>
    <row r="27" spans="1:6" x14ac:dyDescent="0.3">
      <c r="A27" s="18">
        <f t="shared" si="3"/>
        <v>3.3000000000000003</v>
      </c>
      <c r="B27" s="1" t="s">
        <v>119</v>
      </c>
      <c r="C27">
        <f>'Financial Statements'!B61/'Financial Statements'!B68</f>
        <v>2.9227383959583202</v>
      </c>
      <c r="D27">
        <f>'Financial Statements'!C61/'Financial Statements'!C68</f>
        <v>2.5745918529085432</v>
      </c>
      <c r="E27">
        <f>'Financial Statements'!D61/'Financial Statements'!D68</f>
        <v>2.3440364866312615</v>
      </c>
      <c r="F27" t="s">
        <v>169</v>
      </c>
    </row>
    <row r="28" spans="1:6" x14ac:dyDescent="0.3">
      <c r="A28" s="18">
        <f t="shared" si="3"/>
        <v>3.4000000000000004</v>
      </c>
      <c r="B28" s="1" t="s">
        <v>120</v>
      </c>
      <c r="C28">
        <f>C19/'Financial Statements'!B19</f>
        <v>-357.59580838323353</v>
      </c>
      <c r="D28">
        <f>D19/'Financial Statements'!C19</f>
        <v>422.2829457364341</v>
      </c>
      <c r="E28">
        <f>E19/'Financial Statements'!D19</f>
        <v>82.550435865504355</v>
      </c>
      <c r="F28" t="s">
        <v>170</v>
      </c>
    </row>
    <row r="29" spans="1:6" x14ac:dyDescent="0.3">
      <c r="A29" s="18">
        <f t="shared" si="3"/>
        <v>3.5000000000000004</v>
      </c>
      <c r="B29" s="1" t="s">
        <v>121</v>
      </c>
      <c r="F29" t="s">
        <v>171</v>
      </c>
    </row>
    <row r="30" spans="1:6" x14ac:dyDescent="0.3">
      <c r="A30" s="18">
        <f t="shared" si="3"/>
        <v>3.6000000000000005</v>
      </c>
      <c r="B30" s="1" t="s">
        <v>122</v>
      </c>
      <c r="F30" t="s">
        <v>173</v>
      </c>
    </row>
    <row r="31" spans="1:6" x14ac:dyDescent="0.3">
      <c r="A31" s="18"/>
      <c r="B31" s="3" t="s">
        <v>123</v>
      </c>
      <c r="F31" t="s">
        <v>172</v>
      </c>
    </row>
    <row r="32" spans="1:6" x14ac:dyDescent="0.3">
      <c r="A32" s="18"/>
    </row>
    <row r="33" spans="1:6" x14ac:dyDescent="0.3">
      <c r="A33" s="18">
        <f>+A24+1</f>
        <v>4</v>
      </c>
      <c r="B33" s="17" t="s">
        <v>124</v>
      </c>
    </row>
    <row r="34" spans="1:6" x14ac:dyDescent="0.3">
      <c r="A34" s="18">
        <f>+A33+0.1</f>
        <v>4.0999999999999996</v>
      </c>
      <c r="B34" s="1" t="s">
        <v>125</v>
      </c>
      <c r="C34">
        <f>'Financial Statements'!B8/'Financial Statements'!B48</f>
        <v>1.1178523337727317</v>
      </c>
      <c r="D34">
        <f>'Financial Statements'!C8/'Financial Statements'!C48</f>
        <v>1.0422077367080529</v>
      </c>
      <c r="E34">
        <f>'Financial Statements'!D8/'Financial Statements'!D48</f>
        <v>0.84756150274168851</v>
      </c>
    </row>
    <row r="35" spans="1:6" x14ac:dyDescent="0.3">
      <c r="A35" s="18">
        <f t="shared" ref="A35:A37" si="4">+A34+0.1</f>
        <v>4.1999999999999993</v>
      </c>
      <c r="B35" s="1" t="s">
        <v>126</v>
      </c>
      <c r="C35">
        <f>'Financial Statements'!B8/'Financial Statements'!B45</f>
        <v>9.3626801529073767</v>
      </c>
      <c r="D35">
        <f>'Financial Statements'!C8/'Financial Statements'!C45</f>
        <v>9.2752789046653152</v>
      </c>
      <c r="E35">
        <f>'Financial Statements'!D8/'Financial Statements'!D45</f>
        <v>7.4665451776097482</v>
      </c>
    </row>
    <row r="36" spans="1:6" x14ac:dyDescent="0.3">
      <c r="A36" s="18">
        <f t="shared" si="4"/>
        <v>4.2999999999999989</v>
      </c>
      <c r="B36" s="1" t="s">
        <v>127</v>
      </c>
      <c r="C36">
        <f>'Financial Statements'!B10/'Financial Statements'!B39</f>
        <v>40.734128588758594</v>
      </c>
      <c r="D36">
        <f>'Financial Statements'!C10/'Financial Statements'!C39</f>
        <v>29.219756838905774</v>
      </c>
      <c r="E36">
        <f>'Financial Statements'!D10/'Financial Statements'!D39</f>
        <v>37.253385865550356</v>
      </c>
    </row>
    <row r="37" spans="1:6" x14ac:dyDescent="0.3">
      <c r="A37" s="18">
        <f t="shared" si="4"/>
        <v>4.3999999999999986</v>
      </c>
      <c r="B37" s="1" t="s">
        <v>128</v>
      </c>
      <c r="C37">
        <f>'Financial Statements'!B8/'Financial Statements'!B48</f>
        <v>1.1178523337727317</v>
      </c>
      <c r="D37">
        <f>'Financial Statements'!C8/'Financial Statements'!C48</f>
        <v>1.0422077367080529</v>
      </c>
      <c r="E37">
        <f>'Financial Statements'!D8/'Financial Statements'!D48</f>
        <v>0.84756150274168851</v>
      </c>
      <c r="F37" t="s">
        <v>174</v>
      </c>
    </row>
    <row r="38" spans="1:6" x14ac:dyDescent="0.3">
      <c r="A38" s="18"/>
    </row>
    <row r="39" spans="1:6" x14ac:dyDescent="0.3">
      <c r="A39" s="18">
        <f>+A33+1</f>
        <v>5</v>
      </c>
      <c r="B39" s="17" t="s">
        <v>129</v>
      </c>
    </row>
    <row r="40" spans="1:6" x14ac:dyDescent="0.3">
      <c r="A40" s="18">
        <f>+A39+0.1</f>
        <v>5.0999999999999996</v>
      </c>
      <c r="B40" s="1" t="s">
        <v>130</v>
      </c>
      <c r="F40" t="s">
        <v>175</v>
      </c>
    </row>
    <row r="41" spans="1:6" x14ac:dyDescent="0.3">
      <c r="A41" s="18">
        <f t="shared" ref="A41:A44" si="5">+A40+0.1</f>
        <v>5.1999999999999993</v>
      </c>
      <c r="B41" s="3" t="s">
        <v>131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  <c r="F41" t="s">
        <v>176</v>
      </c>
    </row>
    <row r="42" spans="1:6" x14ac:dyDescent="0.3">
      <c r="A42" s="18">
        <f t="shared" si="5"/>
        <v>5.2999999999999989</v>
      </c>
      <c r="B42" s="1" t="s">
        <v>132</v>
      </c>
      <c r="C42">
        <f>'Financial Statements'!B27/'Financial Statements'!B65</f>
        <v>250.05725608721801</v>
      </c>
      <c r="D42">
        <f>'Financial Statements'!C27/'Financial Statements'!C65</f>
        <v>291.14045149481393</v>
      </c>
      <c r="E42">
        <f>'Financial Statements'!D27/'Financial Statements'!D65</f>
        <v>341.71840721558124</v>
      </c>
      <c r="F42" t="s">
        <v>178</v>
      </c>
    </row>
    <row r="43" spans="1:6" x14ac:dyDescent="0.3">
      <c r="A43" s="18">
        <f t="shared" si="5"/>
        <v>5.3999999999999986</v>
      </c>
      <c r="B43" s="3" t="s">
        <v>133</v>
      </c>
      <c r="C43">
        <f>'Financial Statements'!B65/'Financial Statements'!B27</f>
        <v>3.9990841123650816E-3</v>
      </c>
      <c r="D43">
        <f>'Financial Statements'!C65/'Financial Statements'!C27</f>
        <v>3.4347683218380015E-3</v>
      </c>
      <c r="E43">
        <f>'Financial Statements'!D65/'Financial Statements'!D27</f>
        <v>2.9263861088089588E-3</v>
      </c>
      <c r="F43" t="s">
        <v>177</v>
      </c>
    </row>
    <row r="44" spans="1:6" x14ac:dyDescent="0.3">
      <c r="A44" s="18">
        <f t="shared" si="5"/>
        <v>5.4999999999999982</v>
      </c>
      <c r="B44" s="1" t="s">
        <v>134</v>
      </c>
      <c r="C44">
        <f>'Financial Statements'!B102/'Financial Statements'!B22</f>
        <v>-0.14870294480125848</v>
      </c>
      <c r="D44">
        <f>'Financial Statements'!C102/'Financial Statements'!C22</f>
        <v>-0.15279890156316012</v>
      </c>
      <c r="E44">
        <f>'Financial Statements'!D102/'Financial Statements'!D22</f>
        <v>-0.24526658654264863</v>
      </c>
      <c r="F44" t="s">
        <v>179</v>
      </c>
    </row>
    <row r="45" spans="1:6" x14ac:dyDescent="0.3">
      <c r="A45" s="18"/>
      <c r="B45" s="3" t="s">
        <v>135</v>
      </c>
      <c r="F45" t="s">
        <v>180</v>
      </c>
    </row>
    <row r="46" spans="1:6" x14ac:dyDescent="0.3">
      <c r="A46" s="18">
        <f>+A44+0.1</f>
        <v>5.5999999999999979</v>
      </c>
      <c r="B46" s="1" t="s">
        <v>136</v>
      </c>
      <c r="C46">
        <f>'Financial Statements'!B102/181.99</f>
        <v>-81.54843672729271</v>
      </c>
      <c r="D46">
        <f>'Financial Statements'!C102/181.99</f>
        <v>-79.493378757074566</v>
      </c>
      <c r="E46">
        <f>'Financial Statements'!D102/181.99</f>
        <v>-77.372383097972417</v>
      </c>
      <c r="F46" t="s">
        <v>181</v>
      </c>
    </row>
    <row r="47" spans="1:6" x14ac:dyDescent="0.3">
      <c r="A47" s="18">
        <f t="shared" ref="A47:A50" si="6">+A45+0.1</f>
        <v>0.1</v>
      </c>
      <c r="B47" s="1" t="s">
        <v>137</v>
      </c>
      <c r="C47">
        <f>('Financial Statements'!B22-('Financial Statements'!B102)/'Financial Statements'!B27)</f>
        <v>99803.000915209297</v>
      </c>
      <c r="D47">
        <f>('Financial Statements'!C22-('Financial Statements'!C102)/'Financial Statements'!C27)</f>
        <v>94680.000866221453</v>
      </c>
      <c r="E47">
        <f>('Financial Statements'!D22-('Financial Statements'!D102)/'Financial Statements'!D27)</f>
        <v>57411.000811485908</v>
      </c>
      <c r="F47" t="s">
        <v>182</v>
      </c>
    </row>
    <row r="48" spans="1:6" x14ac:dyDescent="0.3">
      <c r="A48" s="18">
        <f t="shared" si="6"/>
        <v>5.6999999999999975</v>
      </c>
      <c r="B48" s="1" t="s">
        <v>138</v>
      </c>
      <c r="C48">
        <f>('Financial Statements'!B18/('Financial Statements'!B48-'Financial Statements'!B56)*100)</f>
        <v>60.087134570590571</v>
      </c>
      <c r="D48">
        <f>('Financial Statements'!C18/('Financial Statements'!C48-'Financial Statements'!C56)*100)</f>
        <v>48.309913489209436</v>
      </c>
      <c r="E48">
        <f>('Financial Statements'!D18/('Financial Statements'!D48-'Financial Statements'!D56)*100)</f>
        <v>30.338312829525481</v>
      </c>
      <c r="F48" s="26" t="s">
        <v>183</v>
      </c>
    </row>
    <row r="49" spans="1:6" x14ac:dyDescent="0.3">
      <c r="A49" s="18">
        <f t="shared" si="6"/>
        <v>0.2</v>
      </c>
      <c r="B49" s="1" t="s">
        <v>128</v>
      </c>
      <c r="C49">
        <f>'Financial Statements'!B22/'Financial Statements'!B48*100</f>
        <v>28.292440929256852</v>
      </c>
      <c r="D49">
        <f>'Financial Statements'!C22/'Financial Statements'!C48*100</f>
        <v>26.974205275183614</v>
      </c>
      <c r="E49">
        <f>'Financial Statements'!D22/'Financial Statements'!D48*100</f>
        <v>17.725571802598431</v>
      </c>
    </row>
    <row r="50" spans="1:6" x14ac:dyDescent="0.3">
      <c r="A50" s="18">
        <f t="shared" si="6"/>
        <v>5.7999999999999972</v>
      </c>
      <c r="B50" s="1" t="s">
        <v>139</v>
      </c>
      <c r="C50">
        <f>C51/'Financial Statements'!B13</f>
        <v>17281.806884624846</v>
      </c>
      <c r="D50">
        <f>D51/'Financial Statements'!C13</f>
        <v>19888.753063937816</v>
      </c>
      <c r="E50">
        <f>E51/'Financial Statements'!D13</f>
        <v>30090.063167517816</v>
      </c>
    </row>
    <row r="51" spans="1:6" x14ac:dyDescent="0.3">
      <c r="A51" s="18"/>
      <c r="B51" s="3" t="s">
        <v>140</v>
      </c>
      <c r="C51">
        <f>(181.99*'Financial Statements'!B27)+('Financial Statements'!B62-'Financial Statements'!B36)</f>
        <v>2951421543.3700004</v>
      </c>
      <c r="D51">
        <f>(181.99*'Financial Statements'!C27)+('Financial Statements'!C62-'Financial Statements'!C36)</f>
        <v>3039717463.2800002</v>
      </c>
      <c r="E51">
        <f>(181.99*'Financial Statements'!D27)+('Financial Statements'!D62-'Financial Statements'!D36)</f>
        <v>3158132669.8099999</v>
      </c>
      <c r="F51" t="s">
        <v>190</v>
      </c>
    </row>
    <row r="53" spans="1:6" x14ac:dyDescent="0.3">
      <c r="A53">
        <v>6</v>
      </c>
      <c r="B53" s="7" t="s">
        <v>151</v>
      </c>
    </row>
    <row r="54" spans="1:6" x14ac:dyDescent="0.3">
      <c r="A54">
        <v>6.1</v>
      </c>
      <c r="B54" t="s">
        <v>152</v>
      </c>
      <c r="C54">
        <f>('Financial Statements'!B6-'Financial Statements'!B10)/('Financial Statements'!B6)*100</f>
        <v>36.283479707399451</v>
      </c>
      <c r="D54">
        <f>('Financial Statements'!C6-'Financial Statements'!C10)/('Financial Statements'!C6)*100</f>
        <v>35.34930327648356</v>
      </c>
      <c r="E54">
        <f>('Financial Statements'!D6-'Financial Statements'!D10)/('Financial Statements'!D6)*100</f>
        <v>31.46633929339923</v>
      </c>
      <c r="F54" s="26" t="s">
        <v>184</v>
      </c>
    </row>
    <row r="55" spans="1:6" x14ac:dyDescent="0.3">
      <c r="A55">
        <v>6.2</v>
      </c>
      <c r="B55" t="s">
        <v>153</v>
      </c>
      <c r="C55">
        <f>('Financial Statements'!B7-'Financial Statements'!B11)/('Financial Statements'!B7)*100</f>
        <v>71.745446633132389</v>
      </c>
      <c r="D55">
        <f>('Financial Statements'!C7-'Financial Statements'!C11)/('Financial Statements'!C7)*100</f>
        <v>69.725977347460727</v>
      </c>
      <c r="E55">
        <f>('Financial Statements'!D7-'Financial Statements'!D11)/('Financial Statements'!D7)*100</f>
        <v>66.015101919357235</v>
      </c>
      <c r="F55" t="s">
        <v>185</v>
      </c>
    </row>
    <row r="56" spans="1:6" x14ac:dyDescent="0.3">
      <c r="A56">
        <v>6.3</v>
      </c>
      <c r="B56" t="s">
        <v>154</v>
      </c>
      <c r="C56">
        <f>('Financial Statements'!B8-'Financial Statements'!B12)/('Financial Statements'!B8)*100</f>
        <v>43.309630561360088</v>
      </c>
      <c r="D56">
        <f>('Financial Statements'!C8-'Financial Statements'!C12)/('Financial Statements'!C8)*100</f>
        <v>41.779359625167778</v>
      </c>
      <c r="E56">
        <f>('Financial Statements'!D8-'Financial Statements'!D12)/('Financial Statements'!D8)*100</f>
        <v>38.233247727810863</v>
      </c>
      <c r="F56" t="s">
        <v>186</v>
      </c>
    </row>
    <row r="57" spans="1:6" x14ac:dyDescent="0.3">
      <c r="A57">
        <v>6.4</v>
      </c>
      <c r="B57" t="s">
        <v>155</v>
      </c>
      <c r="C57">
        <f>('Financial Statements'!B13/'Financial Statements'!B8)*100</f>
        <v>43.309630561360088</v>
      </c>
      <c r="D57">
        <f>('Financial Statements'!C13/'Financial Statements'!C8)*100</f>
        <v>41.779359625167778</v>
      </c>
      <c r="E57">
        <f>('Financial Statements'!D13/'Financial Statements'!D8)*100</f>
        <v>38.233247727810863</v>
      </c>
    </row>
    <row r="58" spans="1:6" x14ac:dyDescent="0.3">
      <c r="A58">
        <v>6.5</v>
      </c>
      <c r="B58" t="s">
        <v>156</v>
      </c>
      <c r="C58">
        <f>('Financial Statements'!B15/'Financial Statements'!B8)*100</f>
        <v>6.6571483637986653</v>
      </c>
      <c r="D58">
        <f>('Financial Statements'!C15/'Financial Statements'!C8)*100</f>
        <v>5.9904269074427923</v>
      </c>
      <c r="E58">
        <f>('Financial Statements'!D15/'Financial Statements'!D8)*100</f>
        <v>6.8309564140393064</v>
      </c>
    </row>
    <row r="59" spans="1:6" x14ac:dyDescent="0.3">
      <c r="A59">
        <v>6.6</v>
      </c>
      <c r="B59" t="s">
        <v>157</v>
      </c>
      <c r="C59">
        <f>('Financial Statements'!B16/'Financial Statements'!B8)*100</f>
        <v>6.3637378020328264</v>
      </c>
      <c r="D59">
        <f>('Financial Statements'!C16/'Financial Statements'!C8)*100</f>
        <v>6.0065551901633878</v>
      </c>
      <c r="E59">
        <f>('Financial Statements'!D16/'Financial Statements'!D8)*100</f>
        <v>7.254976959364698</v>
      </c>
    </row>
    <row r="60" spans="1:6" x14ac:dyDescent="0.3">
      <c r="A60">
        <v>6.7</v>
      </c>
      <c r="B60" t="s">
        <v>158</v>
      </c>
      <c r="C60">
        <f>('Financial Statements'!B18/'Financial Statements'!B8)*100</f>
        <v>30.288744395528592</v>
      </c>
      <c r="D60">
        <f>('Financial Statements'!C18/'Financial Statements'!C8)*100</f>
        <v>29.782377527561593</v>
      </c>
      <c r="E60">
        <f>('Financial Statements'!D18/'Financial Statements'!D8)*100</f>
        <v>24.147314354406863</v>
      </c>
    </row>
    <row r="61" spans="1:6" x14ac:dyDescent="0.3">
      <c r="A61">
        <v>6.8</v>
      </c>
      <c r="B61" t="s">
        <v>159</v>
      </c>
      <c r="C61">
        <f>('Financial Statements'!B22/'Financial Statements'!B8)*100</f>
        <v>25.309640705199733</v>
      </c>
      <c r="D61">
        <f>('Financial Statements'!C22/'Financial Statements'!C8)*100</f>
        <v>25.881793355694239</v>
      </c>
      <c r="E61">
        <f>('Financial Statements'!D22/'Financial Statements'!D8)*100</f>
        <v>20.913611278072235</v>
      </c>
    </row>
    <row r="63" spans="1:6" x14ac:dyDescent="0.3">
      <c r="A63">
        <v>7</v>
      </c>
      <c r="B63" t="s">
        <v>160</v>
      </c>
      <c r="F63" t="s">
        <v>187</v>
      </c>
    </row>
    <row r="64" spans="1:6" x14ac:dyDescent="0.3">
      <c r="A64">
        <v>8</v>
      </c>
      <c r="B64" t="s">
        <v>161</v>
      </c>
      <c r="F64" t="s">
        <v>188</v>
      </c>
    </row>
    <row r="65" spans="1:6" x14ac:dyDescent="0.3">
      <c r="A65">
        <v>9</v>
      </c>
      <c r="B65" t="s">
        <v>162</v>
      </c>
      <c r="F65" t="s">
        <v>189</v>
      </c>
    </row>
  </sheetData>
  <mergeCells count="1">
    <mergeCell ref="C2:E2"/>
  </mergeCells>
  <pageMargins left="0.7" right="0.7" top="0.75" bottom="0.75" header="0.3" footer="0.3"/>
  <pageSetup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2023-08-07T16:44:56Z</dcterms:modified>
</cp:coreProperties>
</file>