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8_{C78B847F-9224-AC40-963A-97E98B8FAD59}" xr6:coauthVersionLast="36" xr6:coauthVersionMax="36" xr10:uidLastSave="{00000000-0000-0000-0000-000000000000}"/>
  <bookViews>
    <workbookView xWindow="10600" yWindow="520" windowWidth="27600" windowHeight="164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Sheet2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4" l="1"/>
  <c r="D32" i="4"/>
  <c r="E32" i="4"/>
  <c r="F32" i="4"/>
  <c r="G32" i="4"/>
  <c r="H32" i="4"/>
  <c r="I32" i="4"/>
  <c r="B32" i="4"/>
  <c r="B59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23" i="4"/>
  <c r="D23" i="4"/>
  <c r="E23" i="4"/>
  <c r="F23" i="4"/>
  <c r="F31" i="4" s="1"/>
  <c r="G23" i="4"/>
  <c r="H23" i="4"/>
  <c r="I23" i="4"/>
  <c r="B23" i="4"/>
  <c r="C25" i="4"/>
  <c r="D25" i="4"/>
  <c r="E25" i="4"/>
  <c r="F25" i="4"/>
  <c r="G25" i="4"/>
  <c r="H25" i="4"/>
  <c r="I25" i="4"/>
  <c r="B25" i="4"/>
  <c r="C31" i="4"/>
  <c r="D31" i="4"/>
  <c r="E31" i="4"/>
  <c r="G31" i="4"/>
  <c r="H31" i="4"/>
  <c r="I31" i="4"/>
  <c r="B31" i="4"/>
  <c r="K14" i="4"/>
  <c r="L14" i="4"/>
  <c r="M14" i="4"/>
  <c r="N14" i="4"/>
  <c r="J14" i="4"/>
  <c r="K12" i="4"/>
  <c r="L12" i="4" s="1"/>
  <c r="M12" i="4" s="1"/>
  <c r="N12" i="4" s="1"/>
  <c r="J12" i="4"/>
  <c r="C14" i="4"/>
  <c r="D14" i="4"/>
  <c r="E14" i="4"/>
  <c r="F14" i="4"/>
  <c r="G14" i="4"/>
  <c r="H14" i="4"/>
  <c r="I14" i="4"/>
  <c r="B14" i="4"/>
  <c r="C11" i="4" l="1"/>
  <c r="D11" i="4"/>
  <c r="E11" i="4"/>
  <c r="F11" i="4"/>
  <c r="G11" i="4"/>
  <c r="H11" i="4"/>
  <c r="I11" i="4"/>
  <c r="J11" i="4"/>
  <c r="K11" i="4"/>
  <c r="L11" i="4"/>
  <c r="M11" i="4"/>
  <c r="N11" i="4"/>
  <c r="B11" i="4"/>
  <c r="B99" i="1"/>
  <c r="C99" i="1"/>
  <c r="D99" i="1"/>
  <c r="E99" i="1"/>
  <c r="F99" i="1"/>
  <c r="G99" i="1"/>
  <c r="H99" i="1"/>
  <c r="H101" i="1" s="1"/>
  <c r="I100" i="1" s="1"/>
  <c r="I99" i="1"/>
  <c r="I101" i="1" s="1"/>
  <c r="C17" i="3" l="1"/>
  <c r="D17" i="3"/>
  <c r="E17" i="3"/>
  <c r="F17" i="3"/>
  <c r="G17" i="3"/>
  <c r="H17" i="3"/>
  <c r="I17" i="3"/>
  <c r="B17" i="3"/>
  <c r="J17" i="3"/>
  <c r="K10" i="4"/>
  <c r="L10" i="4" s="1"/>
  <c r="M10" i="4" s="1"/>
  <c r="N10" i="4" s="1"/>
  <c r="J10" i="4"/>
  <c r="C43" i="4"/>
  <c r="D43" i="4"/>
  <c r="E43" i="4"/>
  <c r="F43" i="4"/>
  <c r="G43" i="4"/>
  <c r="H43" i="4"/>
  <c r="I43" i="4"/>
  <c r="B43" i="4"/>
  <c r="C40" i="4"/>
  <c r="D40" i="4"/>
  <c r="E40" i="4"/>
  <c r="F40" i="4"/>
  <c r="G40" i="4"/>
  <c r="H40" i="4"/>
  <c r="I40" i="4"/>
  <c r="B40" i="4"/>
  <c r="C42" i="4"/>
  <c r="D42" i="4"/>
  <c r="E42" i="4"/>
  <c r="F42" i="4"/>
  <c r="G42" i="4"/>
  <c r="H42" i="4"/>
  <c r="I42" i="4"/>
  <c r="B42" i="4"/>
  <c r="C54" i="4" l="1"/>
  <c r="D54" i="4"/>
  <c r="E54" i="4"/>
  <c r="F54" i="4"/>
  <c r="G54" i="4"/>
  <c r="H54" i="4"/>
  <c r="I54" i="4"/>
  <c r="B54" i="4"/>
  <c r="C65" i="4" l="1"/>
  <c r="D65" i="4"/>
  <c r="E65" i="4"/>
  <c r="F65" i="4"/>
  <c r="G65" i="4"/>
  <c r="H65" i="4"/>
  <c r="I65" i="4"/>
  <c r="B65" i="4"/>
  <c r="C61" i="4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59" i="4"/>
  <c r="D59" i="4"/>
  <c r="D60" i="4" s="1"/>
  <c r="E59" i="4"/>
  <c r="E60" i="4" s="1"/>
  <c r="F59" i="4"/>
  <c r="F60" i="4" s="1"/>
  <c r="G59" i="4"/>
  <c r="G60" i="4" s="1"/>
  <c r="H59" i="4"/>
  <c r="H60" i="4" s="1"/>
  <c r="I59" i="4"/>
  <c r="I60" i="4" s="1"/>
  <c r="C60" i="4"/>
  <c r="C57" i="4"/>
  <c r="D57" i="4"/>
  <c r="E57" i="4"/>
  <c r="F57" i="4"/>
  <c r="G57" i="4"/>
  <c r="H57" i="4"/>
  <c r="I57" i="4"/>
  <c r="B57" i="4"/>
  <c r="C38" i="4"/>
  <c r="D38" i="4"/>
  <c r="E38" i="4"/>
  <c r="F38" i="4"/>
  <c r="G38" i="4"/>
  <c r="H38" i="4"/>
  <c r="I38" i="4"/>
  <c r="B38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1" i="4" l="1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9" i="4"/>
  <c r="D29" i="4"/>
  <c r="E29" i="4"/>
  <c r="F29" i="4"/>
  <c r="G29" i="4"/>
  <c r="H29" i="4"/>
  <c r="I29" i="4"/>
  <c r="B29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J15" i="4" s="1"/>
  <c r="K15" i="4" s="1"/>
  <c r="L15" i="4" s="1"/>
  <c r="M15" i="4" s="1"/>
  <c r="N15" i="4" s="1"/>
  <c r="B15" i="4"/>
  <c r="B17" i="4" s="1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E18" i="4" l="1"/>
  <c r="H18" i="4"/>
  <c r="D18" i="4"/>
  <c r="F18" i="4"/>
  <c r="G18" i="4"/>
  <c r="C18" i="4"/>
  <c r="I1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17" i="4" l="1"/>
  <c r="K17" i="4" s="1"/>
  <c r="L17" i="4" s="1"/>
  <c r="M17" i="4" s="1"/>
  <c r="N17" i="4" s="1"/>
  <c r="I18" i="4"/>
  <c r="G316" i="3"/>
  <c r="H316" i="3"/>
  <c r="I316" i="3"/>
  <c r="F316" i="3"/>
  <c r="F314" i="3"/>
  <c r="G315" i="3" s="1"/>
  <c r="G317" i="3" s="1"/>
  <c r="G314" i="3"/>
  <c r="H314" i="3"/>
  <c r="H315" i="3" s="1"/>
  <c r="H317" i="3" s="1"/>
  <c r="I314" i="3"/>
  <c r="I315" i="3" s="1"/>
  <c r="I317" i="3" s="1"/>
  <c r="E314" i="3"/>
  <c r="H138" i="3"/>
  <c r="I138" i="3"/>
  <c r="I139" i="3" s="1"/>
  <c r="H131" i="3"/>
  <c r="I131" i="3"/>
  <c r="F135" i="3"/>
  <c r="G135" i="3"/>
  <c r="H135" i="3"/>
  <c r="I135" i="3"/>
  <c r="E135" i="3"/>
  <c r="H136" i="3" l="1"/>
  <c r="F315" i="3"/>
  <c r="F317" i="3" s="1"/>
  <c r="J314" i="3"/>
  <c r="K314" i="3" s="1"/>
  <c r="L314" i="3" s="1"/>
  <c r="M314" i="3" s="1"/>
  <c r="N314" i="3" s="1"/>
  <c r="H128" i="3"/>
  <c r="I132" i="3"/>
  <c r="I136" i="3"/>
  <c r="I128" i="3"/>
  <c r="I129" i="3" l="1"/>
  <c r="N346" i="3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J257" i="3"/>
  <c r="K257" i="3" s="1"/>
  <c r="L257" i="3" s="1"/>
  <c r="M257" i="3" s="1"/>
  <c r="N257" i="3" s="1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J227" i="3"/>
  <c r="K227" i="3" s="1"/>
  <c r="L227" i="3" s="1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J196" i="3"/>
  <c r="K196" i="3" s="1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7" i="3"/>
  <c r="J176" i="3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J165" i="3"/>
  <c r="K165" i="3" s="1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N55" i="3" l="1"/>
  <c r="J203" i="3"/>
  <c r="J204" i="3" s="1"/>
  <c r="K338" i="3"/>
  <c r="J265" i="3"/>
  <c r="J266" i="3" s="1"/>
  <c r="K210" i="3"/>
  <c r="L87" i="3"/>
  <c r="M87" i="3" s="1"/>
  <c r="K179" i="3"/>
  <c r="K303" i="3"/>
  <c r="M242" i="3"/>
  <c r="N242" i="3" s="1"/>
  <c r="N241" i="3" s="1"/>
  <c r="L241" i="3"/>
  <c r="K148" i="3"/>
  <c r="L86" i="3"/>
  <c r="K117" i="3"/>
  <c r="L180" i="3"/>
  <c r="K241" i="3"/>
  <c r="K272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K255" i="3"/>
  <c r="L240" i="3"/>
  <c r="L238" i="3"/>
  <c r="K262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J190" i="3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K203" i="3" l="1"/>
  <c r="K204" i="3" s="1"/>
  <c r="K252" i="3"/>
  <c r="K259" i="3" s="1"/>
  <c r="M272" i="3"/>
  <c r="K239" i="3"/>
  <c r="J193" i="3"/>
  <c r="J197" i="3" s="1"/>
  <c r="J198" i="3" s="1"/>
  <c r="M241" i="3"/>
  <c r="M180" i="3"/>
  <c r="L179" i="3"/>
  <c r="J235" i="3"/>
  <c r="J224" i="3"/>
  <c r="J228" i="3" s="1"/>
  <c r="J229" i="3" s="1"/>
  <c r="K200" i="3"/>
  <c r="K221" i="3"/>
  <c r="J173" i="3"/>
  <c r="J162" i="3"/>
  <c r="J166" i="3" s="1"/>
  <c r="J167" i="3" s="1"/>
  <c r="K231" i="3"/>
  <c r="M339" i="3"/>
  <c r="L338" i="3"/>
  <c r="K172" i="3"/>
  <c r="K190" i="3"/>
  <c r="K197" i="3" s="1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M238" i="3"/>
  <c r="M240" i="3"/>
  <c r="L234" i="3"/>
  <c r="L221" i="3"/>
  <c r="L208" i="3"/>
  <c r="L231" i="3"/>
  <c r="N227" i="3"/>
  <c r="K224" i="3"/>
  <c r="K228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M165" i="3"/>
  <c r="L172" i="3"/>
  <c r="L173" i="3" s="1"/>
  <c r="L146" i="3"/>
  <c r="L159" i="3"/>
  <c r="L169" i="3"/>
  <c r="K198" i="3" l="1"/>
  <c r="L162" i="3"/>
  <c r="K229" i="3"/>
  <c r="N180" i="3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H335" i="3"/>
  <c r="H336" i="3" s="1"/>
  <c r="I335" i="3"/>
  <c r="J335" i="3" s="1"/>
  <c r="K335" i="3" s="1"/>
  <c r="L335" i="3" s="1"/>
  <c r="M335" i="3" s="1"/>
  <c r="N335" i="3" s="1"/>
  <c r="B335" i="3"/>
  <c r="C331" i="3"/>
  <c r="D331" i="3"/>
  <c r="E331" i="3"/>
  <c r="F331" i="3"/>
  <c r="G331" i="3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G321" i="3"/>
  <c r="H321" i="3"/>
  <c r="I321" i="3"/>
  <c r="B321" i="3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J300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H307" i="3" l="1"/>
  <c r="B324" i="3"/>
  <c r="F324" i="3"/>
  <c r="G332" i="3"/>
  <c r="G336" i="3"/>
  <c r="G297" i="3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L302" i="3" l="1"/>
  <c r="K300" i="3"/>
  <c r="F284" i="3"/>
  <c r="C253" i="3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C191" i="3" l="1"/>
  <c r="M302" i="3"/>
  <c r="L300" i="3"/>
  <c r="H90" i="3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6" i="3"/>
  <c r="F67" i="3" s="1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N302" i="3" l="1"/>
  <c r="N300" i="3" s="1"/>
  <c r="M300" i="3"/>
  <c r="F129" i="3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F58" i="1"/>
  <c r="E58" i="1"/>
  <c r="D58" i="1"/>
  <c r="C58" i="1"/>
  <c r="B58" i="1"/>
  <c r="G45" i="1"/>
  <c r="F45" i="1"/>
  <c r="E45" i="1"/>
  <c r="D45" i="1"/>
  <c r="C45" i="1"/>
  <c r="B45" i="1"/>
  <c r="I30" i="1"/>
  <c r="H30" i="1"/>
  <c r="G30" i="1"/>
  <c r="F30" i="1"/>
  <c r="E30" i="1"/>
  <c r="D30" i="1"/>
  <c r="C30" i="1"/>
  <c r="B30" i="1"/>
  <c r="I7" i="1"/>
  <c r="H7" i="1"/>
  <c r="G7" i="1"/>
  <c r="F7" i="1"/>
  <c r="E7" i="1"/>
  <c r="D7" i="1"/>
  <c r="C7" i="1"/>
  <c r="B7" i="1"/>
  <c r="I4" i="1"/>
  <c r="I10" i="1" s="1"/>
  <c r="H4" i="1"/>
  <c r="H10" i="1" s="1"/>
  <c r="G4" i="1"/>
  <c r="G10" i="1" s="1"/>
  <c r="F4" i="1"/>
  <c r="F10" i="1" s="1"/>
  <c r="E4" i="1"/>
  <c r="E10" i="1" s="1"/>
  <c r="D4" i="1"/>
  <c r="D10" i="1" s="1"/>
  <c r="C4" i="1"/>
  <c r="C10" i="1" s="1"/>
  <c r="B4" i="1"/>
  <c r="B10" i="1" s="1"/>
  <c r="G12" i="1" l="1"/>
  <c r="G13" i="4"/>
  <c r="G49" i="4" s="1"/>
  <c r="D12" i="1"/>
  <c r="D13" i="4"/>
  <c r="D49" i="4" s="1"/>
  <c r="H12" i="1"/>
  <c r="H13" i="4"/>
  <c r="H49" i="4" s="1"/>
  <c r="D36" i="1"/>
  <c r="H36" i="1"/>
  <c r="D59" i="1"/>
  <c r="D22" i="4" s="1"/>
  <c r="D35" i="4"/>
  <c r="B59" i="1"/>
  <c r="B22" i="4" s="1"/>
  <c r="I12" i="1"/>
  <c r="E36" i="1"/>
  <c r="I36" i="1"/>
  <c r="E59" i="1"/>
  <c r="E22" i="4" s="1"/>
  <c r="E35" i="4"/>
  <c r="E69" i="4"/>
  <c r="C59" i="1"/>
  <c r="C22" i="4" s="1"/>
  <c r="G59" i="1"/>
  <c r="G22" i="4" s="1"/>
  <c r="E12" i="1"/>
  <c r="E13" i="4"/>
  <c r="E49" i="4" s="1"/>
  <c r="B12" i="1"/>
  <c r="B16" i="4" s="1"/>
  <c r="B19" i="4" s="1"/>
  <c r="B13" i="4"/>
  <c r="B49" i="4" s="1"/>
  <c r="F12" i="1"/>
  <c r="F13" i="4"/>
  <c r="F49" i="4" s="1"/>
  <c r="B36" i="1"/>
  <c r="F36" i="1"/>
  <c r="B35" i="4"/>
  <c r="B69" i="4"/>
  <c r="F35" i="4"/>
  <c r="C12" i="1"/>
  <c r="C13" i="4"/>
  <c r="C49" i="4" s="1"/>
  <c r="C36" i="1"/>
  <c r="G36" i="1"/>
  <c r="C69" i="4"/>
  <c r="C35" i="4"/>
  <c r="G69" i="4"/>
  <c r="G35" i="4"/>
  <c r="F78" i="3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66" i="4"/>
  <c r="D68" i="4" s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66" i="4"/>
  <c r="E68" i="4" s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F22" i="4" s="1"/>
  <c r="C66" i="4"/>
  <c r="C68" i="4" s="1"/>
  <c r="G66" i="4"/>
  <c r="G68" i="4" s="1"/>
  <c r="B66" i="4"/>
  <c r="B68" i="4" s="1"/>
  <c r="F66" i="4"/>
  <c r="F68" i="4" s="1"/>
  <c r="G51" i="4" l="1"/>
  <c r="I64" i="1"/>
  <c r="I76" i="1" s="1"/>
  <c r="D51" i="4"/>
  <c r="C16" i="4"/>
  <c r="C19" i="4" s="1"/>
  <c r="E51" i="4"/>
  <c r="E53" i="4" s="1"/>
  <c r="D53" i="4"/>
  <c r="D16" i="4"/>
  <c r="D19" i="4" s="1"/>
  <c r="C51" i="4"/>
  <c r="C53" i="4" s="1"/>
  <c r="F69" i="4"/>
  <c r="F51" i="4"/>
  <c r="F53" i="4"/>
  <c r="F16" i="4"/>
  <c r="F19" i="4" s="1"/>
  <c r="E16" i="4"/>
  <c r="E19" i="4" s="1"/>
  <c r="I13" i="4"/>
  <c r="I49" i="4" s="1"/>
  <c r="D69" i="4"/>
  <c r="H64" i="1"/>
  <c r="H76" i="1" s="1"/>
  <c r="G53" i="4"/>
  <c r="G16" i="4"/>
  <c r="G19" i="4" s="1"/>
  <c r="N352" i="3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H16" i="4" l="1"/>
  <c r="H19" i="4" s="1"/>
  <c r="I16" i="4"/>
  <c r="N357" i="3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H48" i="3"/>
  <c r="G48" i="3"/>
  <c r="F48" i="3"/>
  <c r="E48" i="3"/>
  <c r="D48" i="3"/>
  <c r="C48" i="3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J16" i="4" l="1"/>
  <c r="K16" i="4" s="1"/>
  <c r="L16" i="4" s="1"/>
  <c r="M16" i="4" s="1"/>
  <c r="N16" i="4" s="1"/>
  <c r="I19" i="4"/>
  <c r="K74" i="3"/>
  <c r="M130" i="3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C18" i="3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52" i="4" l="1"/>
  <c r="F52" i="4"/>
  <c r="C52" i="4"/>
  <c r="G52" i="4"/>
  <c r="D52" i="4"/>
  <c r="H52" i="4"/>
  <c r="I52" i="4"/>
  <c r="E52" i="4"/>
  <c r="N140" i="3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B8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5" i="4" s="1"/>
  <c r="H46" i="3"/>
  <c r="B34" i="3"/>
  <c r="I35" i="3"/>
  <c r="I5" i="3" s="1"/>
  <c r="I5" i="4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C5" i="4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G5" i="4" s="1"/>
  <c r="J21" i="3"/>
  <c r="J3" i="3" s="1"/>
  <c r="J3" i="4" s="1"/>
  <c r="K23" i="3"/>
  <c r="L23" i="3" s="1"/>
  <c r="M23" i="3" s="1"/>
  <c r="N23" i="3" s="1"/>
  <c r="I39" i="3"/>
  <c r="I43" i="3"/>
  <c r="I46" i="3"/>
  <c r="D35" i="3"/>
  <c r="D5" i="3" s="1"/>
  <c r="D5" i="4" s="1"/>
  <c r="E43" i="3"/>
  <c r="F24" i="3"/>
  <c r="F26" i="3" s="1"/>
  <c r="E35" i="3"/>
  <c r="E5" i="3" s="1"/>
  <c r="E5" i="4" s="1"/>
  <c r="F35" i="3"/>
  <c r="F5" i="3" s="1"/>
  <c r="F5" i="4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E6" i="4" l="1"/>
  <c r="E55" i="4" s="1"/>
  <c r="E47" i="4"/>
  <c r="D47" i="4"/>
  <c r="D6" i="4"/>
  <c r="D55" i="4" s="1"/>
  <c r="C47" i="4"/>
  <c r="C6" i="4"/>
  <c r="C55" i="4" s="1"/>
  <c r="F47" i="4"/>
  <c r="F6" i="4"/>
  <c r="F55" i="4" s="1"/>
  <c r="B47" i="4"/>
  <c r="B6" i="4"/>
  <c r="I6" i="4"/>
  <c r="I47" i="4"/>
  <c r="H47" i="4"/>
  <c r="H6" i="4"/>
  <c r="G47" i="4"/>
  <c r="G6" i="4"/>
  <c r="G55" i="4" s="1"/>
  <c r="F11" i="3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B5" i="3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H3" i="4" s="1"/>
  <c r="G21" i="3"/>
  <c r="F21" i="3"/>
  <c r="E21" i="3"/>
  <c r="D21" i="3"/>
  <c r="C21" i="3"/>
  <c r="C3" i="3" s="1"/>
  <c r="B21" i="3"/>
  <c r="I21" i="3"/>
  <c r="C6" i="3" l="1"/>
  <c r="B5" i="4"/>
  <c r="E46" i="4"/>
  <c r="E7" i="4"/>
  <c r="G46" i="4"/>
  <c r="G7" i="4"/>
  <c r="H46" i="4"/>
  <c r="H7" i="4"/>
  <c r="D7" i="4"/>
  <c r="D46" i="4"/>
  <c r="C46" i="4"/>
  <c r="C7" i="4"/>
  <c r="C7" i="3"/>
  <c r="C3" i="4"/>
  <c r="C24" i="4" s="1"/>
  <c r="I46" i="4"/>
  <c r="I7" i="4"/>
  <c r="F46" i="4"/>
  <c r="F7" i="4"/>
  <c r="C10" i="3"/>
  <c r="N326" i="3"/>
  <c r="N105" i="3"/>
  <c r="D37" i="3"/>
  <c r="D3" i="3"/>
  <c r="D3" i="4" s="1"/>
  <c r="D24" i="4" s="1"/>
  <c r="H19" i="3"/>
  <c r="H16" i="3"/>
  <c r="I12" i="3"/>
  <c r="I8" i="4" s="1"/>
  <c r="E37" i="3"/>
  <c r="E3" i="3"/>
  <c r="E3" i="4" s="1"/>
  <c r="E24" i="4" s="1"/>
  <c r="H13" i="3"/>
  <c r="H9" i="4" s="1"/>
  <c r="H12" i="3"/>
  <c r="H8" i="4" s="1"/>
  <c r="B37" i="3"/>
  <c r="B3" i="3"/>
  <c r="F37" i="3"/>
  <c r="F3" i="3"/>
  <c r="B11" i="3"/>
  <c r="B6" i="3"/>
  <c r="C13" i="3"/>
  <c r="C9" i="4" s="1"/>
  <c r="E12" i="3"/>
  <c r="E8" i="4" s="1"/>
  <c r="E13" i="3"/>
  <c r="E9" i="4" s="1"/>
  <c r="F12" i="3"/>
  <c r="F8" i="4" s="1"/>
  <c r="G12" i="3"/>
  <c r="G8" i="4" s="1"/>
  <c r="H7" i="3"/>
  <c r="H10" i="3"/>
  <c r="I50" i="3"/>
  <c r="J50" i="3" s="1"/>
  <c r="J49" i="3" s="1"/>
  <c r="I3" i="3"/>
  <c r="C19" i="3"/>
  <c r="C16" i="3"/>
  <c r="G37" i="3"/>
  <c r="G3" i="3"/>
  <c r="D13" i="3"/>
  <c r="D9" i="4" s="1"/>
  <c r="D12" i="3"/>
  <c r="D8" i="4" s="1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C4" i="3" l="1"/>
  <c r="C4" i="4" s="1"/>
  <c r="B3" i="4"/>
  <c r="B24" i="4" s="1"/>
  <c r="B46" i="4"/>
  <c r="B7" i="4"/>
  <c r="G13" i="3"/>
  <c r="G9" i="4" s="1"/>
  <c r="G3" i="4"/>
  <c r="G24" i="4" s="1"/>
  <c r="I13" i="3"/>
  <c r="I9" i="4" s="1"/>
  <c r="I3" i="4"/>
  <c r="C12" i="3"/>
  <c r="C8" i="4" s="1"/>
  <c r="F13" i="3"/>
  <c r="F9" i="4" s="1"/>
  <c r="F3" i="4"/>
  <c r="F24" i="4" s="1"/>
  <c r="J48" i="3"/>
  <c r="B7" i="3"/>
  <c r="K48" i="3"/>
  <c r="F4" i="3"/>
  <c r="F4" i="4" s="1"/>
  <c r="F19" i="3"/>
  <c r="F16" i="3"/>
  <c r="F7" i="3"/>
  <c r="F10" i="3"/>
  <c r="G4" i="3"/>
  <c r="G4" i="4" s="1"/>
  <c r="G19" i="3"/>
  <c r="G16" i="3"/>
  <c r="G7" i="3"/>
  <c r="G10" i="3"/>
  <c r="B4" i="3"/>
  <c r="B4" i="4" s="1"/>
  <c r="B16" i="3"/>
  <c r="B19" i="3"/>
  <c r="B10" i="3"/>
  <c r="H4" i="3"/>
  <c r="H4" i="4" s="1"/>
  <c r="N31" i="3"/>
  <c r="I4" i="3"/>
  <c r="I4" i="4" s="1"/>
  <c r="I19" i="3"/>
  <c r="I16" i="3"/>
  <c r="I7" i="3"/>
  <c r="I10" i="3"/>
  <c r="B13" i="3"/>
  <c r="B9" i="4" s="1"/>
  <c r="B12" i="3"/>
  <c r="B8" i="4" s="1"/>
  <c r="E4" i="3"/>
  <c r="E4" i="4" s="1"/>
  <c r="E19" i="3"/>
  <c r="E16" i="3"/>
  <c r="E7" i="3"/>
  <c r="E10" i="3"/>
  <c r="D4" i="3"/>
  <c r="D4" i="4" s="1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H35" i="4" l="1"/>
  <c r="K38" i="3"/>
  <c r="I35" i="4"/>
  <c r="J38" i="3"/>
  <c r="N21" i="3"/>
  <c r="J18" i="3"/>
  <c r="J46" i="3"/>
  <c r="J14" i="3"/>
  <c r="J15" i="3" s="1"/>
  <c r="J36" i="3"/>
  <c r="J5" i="3"/>
  <c r="L38" i="3"/>
  <c r="J4" i="3"/>
  <c r="J4" i="4" s="1"/>
  <c r="J19" i="3"/>
  <c r="H59" i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B60" i="1"/>
  <c r="E60" i="1"/>
  <c r="F60" i="1"/>
  <c r="I59" i="1"/>
  <c r="I69" i="4" s="1"/>
  <c r="G60" i="1"/>
  <c r="C60" i="1"/>
  <c r="D60" i="1"/>
  <c r="J23" i="4" l="1"/>
  <c r="K23" i="4" s="1"/>
  <c r="L23" i="4" s="1"/>
  <c r="M23" i="4" s="1"/>
  <c r="N23" i="4" s="1"/>
  <c r="I51" i="4"/>
  <c r="I24" i="4"/>
  <c r="H51" i="4"/>
  <c r="H24" i="4"/>
  <c r="I60" i="1"/>
  <c r="I22" i="4"/>
  <c r="H66" i="4"/>
  <c r="H68" i="4" s="1"/>
  <c r="H60" i="1"/>
  <c r="H22" i="4"/>
  <c r="J6" i="3"/>
  <c r="J5" i="4"/>
  <c r="H69" i="4"/>
  <c r="J16" i="3"/>
  <c r="M48" i="3"/>
  <c r="J7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66" i="4"/>
  <c r="I68" i="4" s="1"/>
  <c r="G20" i="1"/>
  <c r="G168" i="1"/>
  <c r="H53" i="4" l="1"/>
  <c r="H55" i="4"/>
  <c r="H102" i="1"/>
  <c r="I53" i="4"/>
  <c r="I55" i="4"/>
  <c r="M38" i="3"/>
  <c r="I102" i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2" i="3" l="1"/>
  <c r="L44" i="3"/>
  <c r="L43" i="3"/>
  <c r="N45" i="3"/>
  <c r="N46" i="3" s="1"/>
  <c r="M36" i="3"/>
  <c r="M42" i="3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35" i="3"/>
  <c r="J136" i="3" s="1"/>
  <c r="J10" i="3" l="1"/>
  <c r="J47" i="4"/>
  <c r="J6" i="4"/>
  <c r="J11" i="3"/>
  <c r="J9" i="3"/>
  <c r="J46" i="4" l="1"/>
  <c r="J7" i="4"/>
  <c r="J13" i="3"/>
  <c r="J9" i="4" s="1"/>
  <c r="J12" i="3"/>
  <c r="J8" i="4" s="1"/>
  <c r="L135" i="3"/>
  <c r="M135" i="3"/>
  <c r="K135" i="3"/>
  <c r="N135" i="3"/>
  <c r="M136" i="3" l="1"/>
  <c r="N136" i="3"/>
  <c r="K136" i="3"/>
  <c r="L136" i="3"/>
  <c r="K269" i="3"/>
  <c r="K283" i="3" l="1"/>
  <c r="K3" i="3"/>
  <c r="K5" i="3"/>
  <c r="K5" i="4" s="1"/>
  <c r="K296" i="3"/>
  <c r="K17" i="3" s="1"/>
  <c r="K293" i="3"/>
  <c r="K14" i="3" s="1"/>
  <c r="L269" i="3"/>
  <c r="L3" i="3" s="1"/>
  <c r="L3" i="4" l="1"/>
  <c r="L4" i="3"/>
  <c r="L4" i="4" s="1"/>
  <c r="K3" i="4"/>
  <c r="K4" i="3"/>
  <c r="K4" i="4" s="1"/>
  <c r="K297" i="3"/>
  <c r="K286" i="3"/>
  <c r="K288" i="3" s="1"/>
  <c r="K16" i="3"/>
  <c r="K15" i="3"/>
  <c r="L293" i="3"/>
  <c r="L14" i="3" s="1"/>
  <c r="L283" i="3"/>
  <c r="M269" i="3"/>
  <c r="M3" i="3" s="1"/>
  <c r="L296" i="3"/>
  <c r="L17" i="3" s="1"/>
  <c r="K6" i="3"/>
  <c r="K7" i="3"/>
  <c r="M3" i="4" l="1"/>
  <c r="M4" i="3"/>
  <c r="M4" i="4" s="1"/>
  <c r="L16" i="3"/>
  <c r="L15" i="3"/>
  <c r="L286" i="3"/>
  <c r="L297" i="3"/>
  <c r="M293" i="3"/>
  <c r="M14" i="3" s="1"/>
  <c r="M283" i="3"/>
  <c r="M296" i="3"/>
  <c r="M17" i="3" s="1"/>
  <c r="N269" i="3"/>
  <c r="N3" i="3" s="1"/>
  <c r="L5" i="3"/>
  <c r="L5" i="4" s="1"/>
  <c r="K18" i="3"/>
  <c r="K19" i="3"/>
  <c r="K8" i="3"/>
  <c r="K290" i="3"/>
  <c r="K47" i="4" l="1"/>
  <c r="K6" i="4"/>
  <c r="N3" i="4"/>
  <c r="N4" i="3"/>
  <c r="N4" i="4" s="1"/>
  <c r="L8" i="3"/>
  <c r="L9" i="3" s="1"/>
  <c r="L288" i="3"/>
  <c r="L290" i="3"/>
  <c r="L19" i="3"/>
  <c r="L18" i="3"/>
  <c r="M16" i="3"/>
  <c r="M15" i="3"/>
  <c r="M286" i="3"/>
  <c r="M297" i="3"/>
  <c r="K291" i="3"/>
  <c r="K11" i="3"/>
  <c r="M5" i="3"/>
  <c r="M5" i="4" s="1"/>
  <c r="K9" i="3"/>
  <c r="K10" i="3"/>
  <c r="L6" i="3"/>
  <c r="L7" i="3"/>
  <c r="N283" i="3"/>
  <c r="N293" i="3"/>
  <c r="N14" i="3" s="1"/>
  <c r="N296" i="3"/>
  <c r="N17" i="3" s="1"/>
  <c r="K46" i="4" l="1"/>
  <c r="K7" i="4"/>
  <c r="L10" i="3"/>
  <c r="L47" i="4"/>
  <c r="L6" i="4"/>
  <c r="M8" i="3"/>
  <c r="M288" i="3"/>
  <c r="N5" i="3"/>
  <c r="N5" i="4" s="1"/>
  <c r="M290" i="3"/>
  <c r="N15" i="3"/>
  <c r="N16" i="3"/>
  <c r="K12" i="3"/>
  <c r="K8" i="4" s="1"/>
  <c r="K13" i="3"/>
  <c r="K9" i="4" s="1"/>
  <c r="L291" i="3"/>
  <c r="L11" i="3"/>
  <c r="M19" i="3"/>
  <c r="M18" i="3"/>
  <c r="N286" i="3"/>
  <c r="N297" i="3"/>
  <c r="M6" i="3"/>
  <c r="M7" i="3"/>
  <c r="L46" i="4" l="1"/>
  <c r="L7" i="4"/>
  <c r="M10" i="3"/>
  <c r="M47" i="4"/>
  <c r="M6" i="4"/>
  <c r="M9" i="3"/>
  <c r="N8" i="3"/>
  <c r="N288" i="3"/>
  <c r="N290" i="3"/>
  <c r="N291" i="3" s="1"/>
  <c r="N18" i="3"/>
  <c r="N19" i="3"/>
  <c r="N6" i="3"/>
  <c r="N7" i="3"/>
  <c r="L13" i="3"/>
  <c r="L9" i="4" s="1"/>
  <c r="L12" i="3"/>
  <c r="L8" i="4" s="1"/>
  <c r="M11" i="3"/>
  <c r="M291" i="3"/>
  <c r="M46" i="4" l="1"/>
  <c r="M7" i="4"/>
  <c r="N10" i="3"/>
  <c r="N47" i="4"/>
  <c r="N6" i="4"/>
  <c r="N9" i="3"/>
  <c r="N11" i="3"/>
  <c r="M13" i="3"/>
  <c r="M9" i="4" s="1"/>
  <c r="M12" i="3"/>
  <c r="M8" i="4" s="1"/>
  <c r="N12" i="3" l="1"/>
  <c r="N8" i="4" s="1"/>
  <c r="N46" i="4"/>
  <c r="N7" i="4"/>
  <c r="N13" i="3"/>
  <c r="N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<sst xmlns="http://schemas.openxmlformats.org/spreadsheetml/2006/main" count="812" uniqueCount="219">
  <si>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</si>
  <si>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</si>
  <si>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</si>
  <si>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</si>
  <si>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</si>
  <si>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</si>
  <si>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</si>
  <si>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</si>
  <si>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</si>
  <si>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</si>
  <si>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</si>
  <si>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</si>
  <si>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</si>
  <si>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</si>
  <si>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</si>
  <si>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</si>
  <si>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</si>
  <si>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</si>
  <si>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</si>
  <si>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</si>
  <si>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</si>
  <si>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</si>
  <si>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</si>
  <si>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</si>
  <si>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</si>
  <si>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</si>
  <si>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</si>
  <si>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</si>
  <si>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</si>
  <si>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</si>
  <si>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</si>
  <si>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</si>
  <si>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</si>
  <si>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</si>
  <si>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</si>
  <si>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</si>
  <si>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</si>
  <si>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</si>
  <si>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</si>
  <si>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</si>
  <si>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</si>
  <si>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</si>
  <si>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</si>
  <si>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</si>
  <si>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</si>
  <si>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</si>
  <si>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</si>
  <si>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</si>
  <si>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</si>
  <si>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</si>
  <si>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</si>
  <si>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</si>
  <si>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</si>
  <si>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</si>
  <si>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</si>
  <si>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</si>
  <si>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</si>
  <si>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</si>
  <si>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</si>
  <si>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</si>
  <si>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</si>
  <si>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</si>
  <si>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</si>
  <si>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</si>
  <si>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</si>
  <si>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</si>
  <si>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</si>
  <si>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</si>
  <si>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</si>
  <si>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</si>
  <si>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</si>
  <si>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</si>
  <si>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</si>
  <si>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</si>
  <si>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</si>
  <si>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</si>
  <si>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</si>
  <si>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</si>
  <si>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</si>
  <si>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</si>
  <si>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</si>
  <si>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</si>
  <si>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</si>
  <si>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</si>
  <si>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</si>
  <si>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</si>
  <si>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</si>
  <si>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</si>
  <si>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</si>
  <si>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</si>
  <si>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</si>
  <si>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</si>
  <si>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</si>
  <si>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</si>
  <si>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</si>
  <si>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</si>
  <si>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</si>
  <si>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</si>
  <si>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</si>
  <si>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</si>
  <si>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</si>
  <si>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</si>
  <si>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</si>
  <si>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</si>
  <si>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</si>
  <si>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</si>
  <si>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</si>
  <si>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</si>
  <si>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</si>
  <si>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</si>
  <si>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</si>
  <si>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</si>
  <si>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</si>
  <si>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</si>
  <si>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</si>
  <si>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</si>
  <si>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</si>
  <si>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</si>
  <si>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</si>
  <si>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</si>
  <si>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</si>
  <si>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</si>
  <si>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</si>
  <si>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</si>
  <si>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</si>
  <si>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</si>
  <si>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</si>
  <si>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</si>
  <si>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</si>
  <si>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</si>
  <si>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</si>
  <si>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</si>
  <si>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</si>
  <si>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</si>
  <si>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</si>
  <si>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</si>
  <si>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</si>
  <si>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</si>
  <si>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</si>
  <si>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</si>
  <si>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</si>
  <si>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</si>
  <si>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</si>
  <si>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</si>
  <si>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</si>
  <si>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</si>
  <si>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</si>
  <si>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</si>
  <si>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</si>
  <si>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</si>
  <si>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</si>
  <si>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</si>
  <si>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</si>
  <si>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</si>
  <si>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</si>
  <si>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</si>
  <si>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</si>
  <si>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</si>
  <si>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</si>
  <si>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</si>
  <si>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</si>
  <si>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</si>
  <si>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</si>
  <si>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</si>
  <si>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</si>
  <si>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</si>
  <si>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</si>
  <si>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</si>
  <si>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</si>
  <si>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</si>
  <si>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</si>
  <si>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</si>
  <si>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</si>
  <si>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</si>
  <si>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</si>
  <si>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</si>
  <si>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</si>
  <si>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</si>
  <si>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</si>
  <si>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</si>
  <si>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</si>
  <si>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</si>
  <si>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</si>
  <si>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</si>
  <si>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</si>
  <si>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</si>
  <si>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</si>
  <si>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</si>
  <si>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</si>
  <si>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</si>
  <si>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</si>
  <si>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</si>
  <si>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</si>
  <si>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</si>
  <si>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</si>
  <si>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</si>
  <si>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</si>
  <si>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</si>
  <si>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</si>
  <si>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</si>
  <si>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</si>
  <si>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</si>
  <si>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</si>
  <si>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</si>
  <si>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</si>
  <si>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</si>
  <si>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</si>
  <si>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</si>
  <si>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</si>
  <si>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</si>
  <si>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</si>
  <si>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</si>
  <si>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</si>
  <si>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</si>
  <si>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EBIT -Interest</t>
  </si>
  <si>
    <t>PBT - Tax</t>
  </si>
  <si>
    <t>Link with - sign</t>
  </si>
  <si>
    <t>Add the totals of the rows above</t>
  </si>
  <si>
    <t>Add the totals of below two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</si>
</sst>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6" fontId="22" fillId="9" borderId="0" xfId="2" applyNumberFormat="1" applyFont="1" applyFill="1"/>
    <xf numFmtId="43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43" fontId="23" fillId="0" borderId="0" xfId="1" applyFont="1" applyBorder="1"/>
    <xf numFmtId="165" fontId="0" fillId="0" borderId="0" xfId="0" applyNumberFormat="1" applyFont="1"/>
    <xf numFmtId="165" fontId="24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1487"/>
          <a:ext cx="8023013" cy="2021275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19587"/>
          <a:ext cx="4038600" cy="3806896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92953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8913"/>
          <a:ext cx="1798320" cy="1192954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97587"/>
          <a:ext cx="1943100" cy="1192953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90540"/>
          <a:ext cx="2727960" cy="1428609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64933" y="5852725"/>
          <a:ext cx="1231053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90" zoomScaleNormal="90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90" zoomScaleNormal="90" workbookViewId="0">
      <pane ySplit="1" topLeftCell="A76" activePane="bottomLeft" state="frozen"/>
      <selection pane="bottomLeft" activeCell="B250" sqref="B250:I256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6" zoomScale="110" zoomScaleNormal="110" workbookViewId="0">
      <selection activeCell="A52" sqref="A52:A36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B21+B83+B145+B176+B207+B238+B269+B300+B335</f>
        <v>30601</v>
      </c>
      <c r="C3" s="3">
        <f t="shared" ref="C3:D3" si="2">C21+C83+C145+C176+C207+C238+C269+C300+C335</f>
        <v>32376</v>
      </c>
      <c r="D3" s="3">
        <f t="shared" si="2"/>
        <v>34350</v>
      </c>
      <c r="E3" s="3">
        <f>E21+E52+E83+E114+E269+E300+E335</f>
        <v>36397</v>
      </c>
      <c r="F3" s="3">
        <f t="shared" ref="F3:I3" si="3">F21+F52+F83+F114+F269+F300+F335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J21+J52+J83+J114+J145+J207+J238+J300+J335+J269</f>
        <v>46710</v>
      </c>
      <c r="K3" s="3">
        <f t="shared" ref="K3:N3" si="4">K21+K52+K83+K114+K145+K207+K238+K300+K335+K269</f>
        <v>46710</v>
      </c>
      <c r="L3" s="3">
        <f t="shared" si="4"/>
        <v>46710</v>
      </c>
      <c r="M3" s="3">
        <f t="shared" si="4"/>
        <v>46710</v>
      </c>
      <c r="N3" s="3">
        <f t="shared" si="4"/>
        <v>46710</v>
      </c>
    </row>
    <row r="4" spans="1:14" x14ac:dyDescent="0.2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0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2">
      <c r="A5" s="45" t="s">
        <v>130</v>
      </c>
      <c r="B5" s="66">
        <f>B35+B97+B159+B190+B221+B318+B252+B283+B349</f>
        <v>4839</v>
      </c>
      <c r="C5" s="66">
        <f t="shared" ref="C5:D5" si="7">C35+C97+C159+C190+C221+C318+C252+C283+C349</f>
        <v>5291</v>
      </c>
      <c r="D5" s="66">
        <f t="shared" si="7"/>
        <v>5651</v>
      </c>
      <c r="E5" s="66">
        <f>E35+E66+E97+E128+E283+E318+E349</f>
        <v>5126</v>
      </c>
      <c r="F5" s="66">
        <f t="shared" ref="F5:N5" si="8">F35+F66+F97+F128+F283+F318+F349</f>
        <v>5555</v>
      </c>
      <c r="G5" s="66">
        <f t="shared" si="8"/>
        <v>3697</v>
      </c>
      <c r="H5" s="66">
        <f t="shared" si="8"/>
        <v>7843</v>
      </c>
      <c r="I5" s="66">
        <f t="shared" si="8"/>
        <v>7752</v>
      </c>
      <c r="J5" s="66">
        <f t="shared" si="8"/>
        <v>7752</v>
      </c>
      <c r="K5" s="66">
        <f t="shared" si="8"/>
        <v>7752</v>
      </c>
      <c r="L5" s="66">
        <f t="shared" si="8"/>
        <v>7752</v>
      </c>
      <c r="M5" s="66">
        <f t="shared" si="8"/>
        <v>7752</v>
      </c>
      <c r="N5" s="66">
        <f t="shared" si="8"/>
        <v>7752</v>
      </c>
    </row>
    <row r="6" spans="1:14" x14ac:dyDescent="0.2">
      <c r="A6" s="46" t="s">
        <v>129</v>
      </c>
      <c r="B6" s="51" t="str">
        <f t="shared" ref="B6:H6" si="9">+IFERROR(B5/A5-1,"nm")</f>
        <v>nm</v>
      </c>
      <c r="C6" s="51">
        <f t="shared" si="9"/>
        <v>9.3407728869601137E-2</v>
      </c>
      <c r="D6" s="51">
        <f t="shared" si="9"/>
        <v>6.8040068040068125E-2</v>
      </c>
      <c r="E6" s="51">
        <f t="shared" si="9"/>
        <v>-9.2903910812245583E-2</v>
      </c>
      <c r="F6" s="51">
        <f t="shared" si="9"/>
        <v>8.3690987124463545E-2</v>
      </c>
      <c r="G6" s="51">
        <f t="shared" si="9"/>
        <v>-0.3344734473447345</v>
      </c>
      <c r="H6" s="51">
        <f t="shared" si="9"/>
        <v>1.1214498241817692</v>
      </c>
      <c r="I6" s="51">
        <f>+IFERROR(I5/H5-1,"nm")</f>
        <v>-1.1602703047303375E-2</v>
      </c>
      <c r="J6" s="51">
        <f t="shared" ref="J6:N6" si="10">+IFERROR(J5/I5-1,"nm")</f>
        <v>0</v>
      </c>
      <c r="K6" s="51">
        <f t="shared" si="10"/>
        <v>0</v>
      </c>
      <c r="L6" s="51">
        <f t="shared" si="10"/>
        <v>0</v>
      </c>
      <c r="M6" s="51">
        <f t="shared" si="10"/>
        <v>0</v>
      </c>
      <c r="N6" s="51">
        <f t="shared" si="10"/>
        <v>0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11">+IFERROR(C5/C$3,"nm")</f>
        <v>0.16342352359772672</v>
      </c>
      <c r="D7" s="51">
        <f t="shared" si="11"/>
        <v>0.16451237263464338</v>
      </c>
      <c r="E7" s="51">
        <f t="shared" si="11"/>
        <v>0.14083578316894249</v>
      </c>
      <c r="F7" s="51">
        <f t="shared" si="11"/>
        <v>0.14200986783240024</v>
      </c>
      <c r="G7" s="51">
        <f t="shared" si="11"/>
        <v>9.8842338849824879E-2</v>
      </c>
      <c r="H7" s="51">
        <f t="shared" si="11"/>
        <v>0.17609681620189502</v>
      </c>
      <c r="I7" s="51">
        <f t="shared" si="11"/>
        <v>0.1659601798330122</v>
      </c>
      <c r="J7" s="51">
        <f t="shared" ref="J7:N7" si="12">+IFERROR(J5/J$3,"nm")</f>
        <v>0.1659601798330122</v>
      </c>
      <c r="K7" s="51">
        <f t="shared" si="12"/>
        <v>0.1659601798330122</v>
      </c>
      <c r="L7" s="51">
        <f t="shared" si="12"/>
        <v>0.1659601798330122</v>
      </c>
      <c r="M7" s="51">
        <f t="shared" si="12"/>
        <v>0.1659601798330122</v>
      </c>
      <c r="N7" s="51">
        <f t="shared" si="12"/>
        <v>0.1659601798330122</v>
      </c>
    </row>
    <row r="8" spans="1:14" x14ac:dyDescent="0.2">
      <c r="A8" s="45" t="s">
        <v>132</v>
      </c>
      <c r="B8" s="66">
        <f>B38+B100+B162+B193+B224+B255+B286+B321+B352</f>
        <v>606</v>
      </c>
      <c r="C8" s="66">
        <f t="shared" ref="C8:D8" si="13">C38+C100+C162+C193+C224+C255+C286+C321+C352</f>
        <v>649</v>
      </c>
      <c r="D8" s="66">
        <f t="shared" si="13"/>
        <v>706</v>
      </c>
      <c r="E8" s="66">
        <f>E38+E69+E100+E131+E286+E321+E352</f>
        <v>747</v>
      </c>
      <c r="F8" s="66">
        <f t="shared" ref="F8:I8" si="14">F38+F69+F100+F131+F286+F321+F352</f>
        <v>705</v>
      </c>
      <c r="G8" s="66">
        <f t="shared" si="14"/>
        <v>721</v>
      </c>
      <c r="H8" s="66">
        <f t="shared" si="14"/>
        <v>920</v>
      </c>
      <c r="I8" s="66">
        <f t="shared" si="14"/>
        <v>896</v>
      </c>
      <c r="J8" s="66">
        <f>J38+J69+J100+J131+J162+J193+J224+J255+J286+J321+J352</f>
        <v>896</v>
      </c>
      <c r="K8" s="66">
        <f t="shared" ref="K8:N8" si="15">K38+K69+K100+K131+K162+K193+K224+K255+K286+K321+K352</f>
        <v>896</v>
      </c>
      <c r="L8" s="66">
        <f t="shared" si="15"/>
        <v>896</v>
      </c>
      <c r="M8" s="66">
        <f t="shared" si="15"/>
        <v>896</v>
      </c>
      <c r="N8" s="66">
        <f t="shared" si="15"/>
        <v>896</v>
      </c>
    </row>
    <row r="9" spans="1:14" x14ac:dyDescent="0.2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0.27600554785020814</v>
      </c>
      <c r="I9" s="51">
        <f>+IFERROR(I8/H8-1,"nm")</f>
        <v>-2.6086956521739091E-2</v>
      </c>
      <c r="J9" s="51">
        <f t="shared" ref="J9:N9" si="17">+IFERROR(J8/I8-1,"nm")</f>
        <v>0</v>
      </c>
      <c r="K9" s="51">
        <f t="shared" si="17"/>
        <v>0</v>
      </c>
      <c r="L9" s="51">
        <f t="shared" si="17"/>
        <v>0</v>
      </c>
      <c r="M9" s="51">
        <f t="shared" si="17"/>
        <v>0</v>
      </c>
      <c r="N9" s="51">
        <f t="shared" si="17"/>
        <v>0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2.06565180295478E-2</v>
      </c>
      <c r="I10" s="51">
        <f t="shared" si="18"/>
        <v>1.9182187968315136E-2</v>
      </c>
      <c r="J10" s="51">
        <f t="shared" ref="J10:N10" si="19">+IFERROR(J8/J$3,"nm")</f>
        <v>1.9182187968315136E-2</v>
      </c>
      <c r="K10" s="51">
        <f t="shared" si="19"/>
        <v>1.9182187968315136E-2</v>
      </c>
      <c r="L10" s="51">
        <f t="shared" si="19"/>
        <v>1.9182187968315136E-2</v>
      </c>
      <c r="M10" s="51">
        <f t="shared" si="19"/>
        <v>1.9182187968315136E-2</v>
      </c>
      <c r="N10" s="51">
        <f t="shared" si="19"/>
        <v>1.9182187968315136E-2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20">C5-C8</f>
        <v>4642</v>
      </c>
      <c r="D11" s="66">
        <f t="shared" si="20"/>
        <v>4945</v>
      </c>
      <c r="E11" s="66">
        <f t="shared" si="20"/>
        <v>4379</v>
      </c>
      <c r="F11" s="66">
        <f t="shared" si="20"/>
        <v>4850</v>
      </c>
      <c r="G11" s="66">
        <f t="shared" si="20"/>
        <v>2976</v>
      </c>
      <c r="H11" s="66">
        <f t="shared" si="20"/>
        <v>6923</v>
      </c>
      <c r="I11" s="66">
        <f t="shared" si="20"/>
        <v>6856</v>
      </c>
      <c r="J11" s="66">
        <f>J42+J73+J104+J135+J166+J197+J228+J259+J290+J325+J356</f>
        <v>6856</v>
      </c>
      <c r="K11" s="66">
        <f t="shared" ref="K11:N11" si="21">K42+K73+K104+K135+K166+K197+K228+K259+K290+K325+K356</f>
        <v>6856</v>
      </c>
      <c r="L11" s="66">
        <f t="shared" si="21"/>
        <v>6856</v>
      </c>
      <c r="M11" s="66">
        <f t="shared" si="21"/>
        <v>6856</v>
      </c>
      <c r="N11" s="66">
        <f t="shared" si="21"/>
        <v>6856</v>
      </c>
    </row>
    <row r="12" spans="1:14" x14ac:dyDescent="0.2">
      <c r="A12" s="46" t="s">
        <v>129</v>
      </c>
      <c r="B12" s="51" t="str">
        <f t="shared" ref="B12:H12" si="22">+IFERROR(B11/A11-1,"nm")</f>
        <v>nm</v>
      </c>
      <c r="C12" s="51">
        <f t="shared" si="22"/>
        <v>9.6621781242617555E-2</v>
      </c>
      <c r="D12" s="51">
        <f t="shared" si="22"/>
        <v>6.5273588970271357E-2</v>
      </c>
      <c r="E12" s="51">
        <f t="shared" si="22"/>
        <v>-0.11445904954499497</v>
      </c>
      <c r="F12" s="51">
        <f t="shared" si="22"/>
        <v>0.10755880337976698</v>
      </c>
      <c r="G12" s="51">
        <f t="shared" si="22"/>
        <v>-0.38639175257731961</v>
      </c>
      <c r="H12" s="51">
        <f t="shared" si="22"/>
        <v>1.32627688172043</v>
      </c>
      <c r="I12" s="51">
        <f>+IFERROR(I11/H11-1,"nm")</f>
        <v>-9.67788530983682E-3</v>
      </c>
      <c r="J12" s="51">
        <f t="shared" ref="J12:N12" si="23">+IFERROR(J11/I11-1,"nm")</f>
        <v>0</v>
      </c>
      <c r="K12" s="51">
        <f t="shared" si="23"/>
        <v>0</v>
      </c>
      <c r="L12" s="51">
        <f t="shared" si="23"/>
        <v>0</v>
      </c>
      <c r="M12" s="51">
        <f t="shared" si="23"/>
        <v>0</v>
      </c>
      <c r="N12" s="51">
        <f t="shared" si="23"/>
        <v>0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4">+IFERROR(C11/C$3,"nm")</f>
        <v>0.14337781072399308</v>
      </c>
      <c r="D13" s="51">
        <f t="shared" si="24"/>
        <v>0.14395924308588065</v>
      </c>
      <c r="E13" s="51">
        <f t="shared" si="24"/>
        <v>0.12031211363573921</v>
      </c>
      <c r="F13" s="51">
        <f t="shared" si="24"/>
        <v>0.12398701331901731</v>
      </c>
      <c r="G13" s="51">
        <f t="shared" si="24"/>
        <v>7.9565810229126011E-2</v>
      </c>
      <c r="H13" s="51">
        <f t="shared" si="24"/>
        <v>0.1554402981723472</v>
      </c>
      <c r="I13" s="51">
        <f t="shared" si="24"/>
        <v>0.14677799186469706</v>
      </c>
      <c r="J13" s="51">
        <f t="shared" ref="J13:N13" si="25">+IFERROR(J11/J$3,"nm")</f>
        <v>0.14677799186469706</v>
      </c>
      <c r="K13" s="51">
        <f t="shared" si="25"/>
        <v>0.14677799186469706</v>
      </c>
      <c r="L13" s="51">
        <f t="shared" si="25"/>
        <v>0.14677799186469706</v>
      </c>
      <c r="M13" s="51">
        <f t="shared" si="25"/>
        <v>0.14677799186469706</v>
      </c>
      <c r="N13" s="51">
        <f t="shared" si="25"/>
        <v>0.14677799186469706</v>
      </c>
    </row>
    <row r="14" spans="1:14" x14ac:dyDescent="0.2">
      <c r="A14" s="45" t="s">
        <v>135</v>
      </c>
      <c r="B14" s="66">
        <f>B45+B76+B107+B138+B169+B200+B231+B262+B293+B328+B359</f>
        <v>963</v>
      </c>
      <c r="C14" s="66">
        <f t="shared" ref="C14:I14" si="26">C45+C76+C107+C138+C169+C200+C231+C262+C293+C328+C359</f>
        <v>1143</v>
      </c>
      <c r="D14" s="66">
        <f t="shared" si="26"/>
        <v>1105</v>
      </c>
      <c r="E14" s="66">
        <f t="shared" si="26"/>
        <v>742</v>
      </c>
      <c r="F14" s="66">
        <f t="shared" si="26"/>
        <v>841</v>
      </c>
      <c r="G14" s="66">
        <f t="shared" si="26"/>
        <v>648</v>
      </c>
      <c r="H14" s="66">
        <f t="shared" si="26"/>
        <v>417</v>
      </c>
      <c r="I14" s="66">
        <f t="shared" si="26"/>
        <v>536</v>
      </c>
      <c r="J14" s="66">
        <f>J45+J76+J107+J138+J169+J200+J231+J262+J293+J328+J359</f>
        <v>536</v>
      </c>
      <c r="K14" s="66">
        <f t="shared" ref="K14:N14" si="27">K45+K76+K107+K138+K169+K200+K231+K262+K293+K328+K359</f>
        <v>536</v>
      </c>
      <c r="L14" s="66">
        <f t="shared" si="27"/>
        <v>536</v>
      </c>
      <c r="M14" s="66">
        <f t="shared" si="27"/>
        <v>536</v>
      </c>
      <c r="N14" s="66">
        <f t="shared" si="27"/>
        <v>536</v>
      </c>
    </row>
    <row r="15" spans="1:14" x14ac:dyDescent="0.2">
      <c r="A15" s="46" t="s">
        <v>129</v>
      </c>
      <c r="B15" s="51" t="str">
        <f t="shared" ref="B15:H15" si="28">+IFERROR(B14/A14-1,"nm")</f>
        <v>nm</v>
      </c>
      <c r="C15" s="51">
        <f t="shared" si="28"/>
        <v>0.18691588785046731</v>
      </c>
      <c r="D15" s="51">
        <f t="shared" si="28"/>
        <v>-3.3245844269466307E-2</v>
      </c>
      <c r="E15" s="51">
        <f t="shared" si="28"/>
        <v>-0.3285067873303168</v>
      </c>
      <c r="F15" s="51">
        <f t="shared" si="28"/>
        <v>0.13342318059299196</v>
      </c>
      <c r="G15" s="51">
        <f t="shared" si="28"/>
        <v>-0.22948870392390008</v>
      </c>
      <c r="H15" s="51">
        <f t="shared" si="28"/>
        <v>-0.35648148148148151</v>
      </c>
      <c r="I15" s="51">
        <f>+IFERROR(I14/H14-1,"nm")</f>
        <v>0.28537170263788969</v>
      </c>
      <c r="J15" s="51">
        <f t="shared" ref="J15:N15" si="29">+IFERROR(J14/I14-1,"nm")</f>
        <v>0</v>
      </c>
      <c r="K15" s="51">
        <f t="shared" si="29"/>
        <v>0</v>
      </c>
      <c r="L15" s="51">
        <f t="shared" si="29"/>
        <v>0</v>
      </c>
      <c r="M15" s="51">
        <f t="shared" si="29"/>
        <v>0</v>
      </c>
      <c r="N15" s="51">
        <f t="shared" si="29"/>
        <v>0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30">+IFERROR(C14/C$3,"nm")</f>
        <v>3.5303928836174947E-2</v>
      </c>
      <c r="D16" s="51">
        <f t="shared" si="30"/>
        <v>3.2168850072780204E-2</v>
      </c>
      <c r="E16" s="51">
        <f t="shared" si="30"/>
        <v>2.0386295573811029E-2</v>
      </c>
      <c r="F16" s="51">
        <f t="shared" si="30"/>
        <v>2.1499603752844033E-2</v>
      </c>
      <c r="G16" s="51">
        <f t="shared" si="30"/>
        <v>1.7324813517632275E-2</v>
      </c>
      <c r="H16" s="51">
        <f t="shared" si="30"/>
        <v>9.3627913242624282E-3</v>
      </c>
      <c r="I16" s="51">
        <f t="shared" si="30"/>
        <v>1.1475058873902804E-2</v>
      </c>
      <c r="J16" s="51">
        <f t="shared" ref="J16:N16" si="31">+IFERROR(J14/J$3,"nm")</f>
        <v>1.1475058873902804E-2</v>
      </c>
      <c r="K16" s="51">
        <f t="shared" si="31"/>
        <v>1.1475058873902804E-2</v>
      </c>
      <c r="L16" s="51">
        <f t="shared" si="31"/>
        <v>1.1475058873902804E-2</v>
      </c>
      <c r="M16" s="51">
        <f t="shared" si="31"/>
        <v>1.1475058873902804E-2</v>
      </c>
      <c r="N16" s="51">
        <f t="shared" si="31"/>
        <v>1.1475058873902804E-2</v>
      </c>
    </row>
    <row r="17" spans="1:14" x14ac:dyDescent="0.2">
      <c r="A17" s="9" t="s">
        <v>143</v>
      </c>
      <c r="B17" s="66">
        <f>B48+B79+B110+B141+B172+B203+B234+B265+B296+B331+B362</f>
        <v>2607</v>
      </c>
      <c r="C17" s="66">
        <f t="shared" ref="C17:I17" si="32">C48+C79+C110+C141+C172+C203+C234+C265+C296+C331+C362</f>
        <v>2981</v>
      </c>
      <c r="D17" s="66">
        <f t="shared" si="32"/>
        <v>3379</v>
      </c>
      <c r="E17" s="66">
        <f t="shared" si="32"/>
        <v>4454</v>
      </c>
      <c r="F17" s="66">
        <f t="shared" si="32"/>
        <v>4744</v>
      </c>
      <c r="G17" s="66">
        <f t="shared" si="32"/>
        <v>4866</v>
      </c>
      <c r="H17" s="66">
        <f t="shared" si="32"/>
        <v>4904</v>
      </c>
      <c r="I17" s="66">
        <f t="shared" si="32"/>
        <v>4791</v>
      </c>
      <c r="J17" s="66">
        <f>J48+J79+J110+J141+J172+J203+J234+J265+J296+J331+J362</f>
        <v>4791</v>
      </c>
      <c r="K17" s="66">
        <f t="shared" ref="K17:N17" si="33">K48+K79+K110+K141+K172+K203+K234+K265+K296+K331+K362</f>
        <v>4791</v>
      </c>
      <c r="L17" s="66">
        <f t="shared" si="33"/>
        <v>4791</v>
      </c>
      <c r="M17" s="66">
        <f t="shared" si="33"/>
        <v>4791</v>
      </c>
      <c r="N17" s="66">
        <f t="shared" si="33"/>
        <v>4791</v>
      </c>
    </row>
    <row r="18" spans="1:14" x14ac:dyDescent="0.2">
      <c r="A18" s="46" t="s">
        <v>129</v>
      </c>
      <c r="B18" s="51" t="str">
        <f t="shared" ref="B18:H18" si="34">+IFERROR(B17/A17-1,"nm")</f>
        <v>nm</v>
      </c>
      <c r="C18" s="51">
        <f t="shared" si="34"/>
        <v>0.14345991561181437</v>
      </c>
      <c r="D18" s="51">
        <f t="shared" si="34"/>
        <v>0.13351224421335117</v>
      </c>
      <c r="E18" s="51">
        <f t="shared" si="34"/>
        <v>0.31814146197099724</v>
      </c>
      <c r="F18" s="51">
        <f t="shared" si="34"/>
        <v>6.5110013471037176E-2</v>
      </c>
      <c r="G18" s="51">
        <f t="shared" si="34"/>
        <v>2.5716694772343951E-2</v>
      </c>
      <c r="H18" s="51">
        <f t="shared" si="34"/>
        <v>7.8092889436909285E-3</v>
      </c>
      <c r="I18" s="51">
        <f>+IFERROR(I17/H17-1,"nm")</f>
        <v>-2.3042414355628038E-2</v>
      </c>
      <c r="J18" s="51">
        <f t="shared" ref="J18:N18" si="35">+IFERROR(J17/I17-1,"nm")</f>
        <v>0</v>
      </c>
      <c r="K18" s="51">
        <f t="shared" si="35"/>
        <v>0</v>
      </c>
      <c r="L18" s="51">
        <f t="shared" si="35"/>
        <v>0</v>
      </c>
      <c r="M18" s="51">
        <f t="shared" si="35"/>
        <v>0</v>
      </c>
      <c r="N18" s="51">
        <f t="shared" si="35"/>
        <v>0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6">+IFERROR(C17/C$3,"nm")</f>
        <v>9.2074376081047696E-2</v>
      </c>
      <c r="D19" s="51">
        <f t="shared" si="36"/>
        <v>9.8369723435225626E-2</v>
      </c>
      <c r="E19" s="51">
        <f t="shared" si="36"/>
        <v>0.12237272302662307</v>
      </c>
      <c r="F19" s="51">
        <f t="shared" si="36"/>
        <v>0.1212771940588491</v>
      </c>
      <c r="G19" s="51">
        <f t="shared" si="36"/>
        <v>0.13009651632222013</v>
      </c>
      <c r="H19" s="51">
        <f t="shared" si="36"/>
        <v>0.11010822219228523</v>
      </c>
      <c r="I19" s="51">
        <f t="shared" si="36"/>
        <v>0.10256904303147078</v>
      </c>
      <c r="J19" s="51">
        <f t="shared" ref="J19:N19" si="37">+IFERROR(J17/J$3,"nm")</f>
        <v>0.10256904303147078</v>
      </c>
      <c r="K19" s="51">
        <f t="shared" si="37"/>
        <v>0.10256904303147078</v>
      </c>
      <c r="L19" s="51">
        <f t="shared" si="37"/>
        <v>0.10256904303147078</v>
      </c>
      <c r="M19" s="51">
        <f t="shared" si="37"/>
        <v>0.10256904303147078</v>
      </c>
      <c r="N19" s="51">
        <f t="shared" si="37"/>
        <v>0.10256904303147078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8">+SUM(K23+K27+K31)</f>
        <v>18353</v>
      </c>
      <c r="L21" s="9">
        <f t="shared" si="38"/>
        <v>18353</v>
      </c>
      <c r="M21" s="9">
        <f t="shared" si="38"/>
        <v>18353</v>
      </c>
      <c r="N21" s="9">
        <f t="shared" si="38"/>
        <v>18353</v>
      </c>
    </row>
    <row r="22" spans="1:14" x14ac:dyDescent="0.2">
      <c r="A22" s="48" t="s">
        <v>129</v>
      </c>
      <c r="B22" s="51" t="str">
        <f t="shared" ref="B22:H22" si="39">+IFERROR(B21/A21-1,"nm")</f>
        <v>nm</v>
      </c>
      <c r="C22" s="51">
        <f t="shared" si="39"/>
        <v>7.4526928675400228E-2</v>
      </c>
      <c r="D22" s="51">
        <f t="shared" si="39"/>
        <v>3.0615009482525046E-2</v>
      </c>
      <c r="E22" s="51">
        <f t="shared" si="39"/>
        <v>-2.372502628811779E-2</v>
      </c>
      <c r="F22" s="51">
        <f t="shared" si="39"/>
        <v>7.0481319421070276E-2</v>
      </c>
      <c r="G22" s="51">
        <f t="shared" si="39"/>
        <v>-8.9171173437303519E-2</v>
      </c>
      <c r="H22" s="51">
        <f t="shared" si="39"/>
        <v>0.18606738470035911</v>
      </c>
      <c r="I22" s="51">
        <f>+IFERROR(I21/H21-1,"nm")</f>
        <v>6.8339251411607238E-2</v>
      </c>
      <c r="J22" s="51">
        <f t="shared" ref="J22:N22" si="40">+IFERROR(J21/I21-1,"nm")</f>
        <v>0</v>
      </c>
      <c r="K22" s="51">
        <f t="shared" si="40"/>
        <v>0</v>
      </c>
      <c r="L22" s="51">
        <f t="shared" si="40"/>
        <v>0</v>
      </c>
      <c r="M22" s="51">
        <f t="shared" si="40"/>
        <v>0</v>
      </c>
      <c r="N22" s="51">
        <f t="shared" si="40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1">+J23*(1+K24)</f>
        <v>12228</v>
      </c>
      <c r="L23" s="3">
        <f t="shared" si="41"/>
        <v>12228</v>
      </c>
      <c r="M23" s="3">
        <f t="shared" si="41"/>
        <v>12228</v>
      </c>
      <c r="N23" s="3">
        <f t="shared" si="41"/>
        <v>12228</v>
      </c>
    </row>
    <row r="24" spans="1:14" x14ac:dyDescent="0.2">
      <c r="A24" s="48" t="s">
        <v>129</v>
      </c>
      <c r="B24" s="51" t="str">
        <f t="shared" ref="B24" si="42">+IFERROR(B23/A23-1,"nm")</f>
        <v>nm</v>
      </c>
      <c r="C24" s="51">
        <f t="shared" ref="C24" si="43">+IFERROR(C23/B23-1,"nm")</f>
        <v>9.3228309428638578E-2</v>
      </c>
      <c r="D24" s="51">
        <f t="shared" ref="D24" si="44">+IFERROR(D23/C23-1,"nm")</f>
        <v>4.1402301322722934E-2</v>
      </c>
      <c r="E24" s="51">
        <f t="shared" ref="E24" si="45">+IFERROR(E23/D23-1,"nm")</f>
        <v>-3.7381247418422192E-2</v>
      </c>
      <c r="F24" s="51">
        <f t="shared" ref="F24" si="46">+IFERROR(F23/E23-1,"nm")</f>
        <v>7.755846384895948E-2</v>
      </c>
      <c r="G24" s="51">
        <f t="shared" ref="G24" si="47">+IFERROR(G23/F23-1,"nm")</f>
        <v>-7.1279243404678949E-2</v>
      </c>
      <c r="H24" s="51">
        <f t="shared" ref="H24" si="48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9">+K25+K26</f>
        <v>0</v>
      </c>
      <c r="L24" s="51">
        <f t="shared" si="49"/>
        <v>0</v>
      </c>
      <c r="M24" s="51">
        <f t="shared" si="49"/>
        <v>0</v>
      </c>
      <c r="N24" s="51">
        <f t="shared" si="49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0">+J25</f>
        <v>0</v>
      </c>
      <c r="L25" s="56">
        <f t="shared" si="50"/>
        <v>0</v>
      </c>
      <c r="M25" s="56">
        <f t="shared" si="50"/>
        <v>0</v>
      </c>
      <c r="N25" s="56">
        <f t="shared" si="50"/>
        <v>0</v>
      </c>
    </row>
    <row r="26" spans="1:14" x14ac:dyDescent="0.2">
      <c r="A26" s="48" t="s">
        <v>138</v>
      </c>
      <c r="B26" s="51" t="str">
        <f t="shared" ref="B26:H26" si="51">+IFERROR(B24-B25,"nm")</f>
        <v>nm</v>
      </c>
      <c r="C26" s="51">
        <f t="shared" si="51"/>
        <v>3.2283094286385816E-3</v>
      </c>
      <c r="D26" s="51">
        <f t="shared" si="51"/>
        <v>1.4023013227229333E-3</v>
      </c>
      <c r="E26" s="51">
        <f t="shared" si="51"/>
        <v>2.6187525815778087E-3</v>
      </c>
      <c r="F26" s="51">
        <f t="shared" si="51"/>
        <v>-2.4415361510405215E-3</v>
      </c>
      <c r="G26" s="51">
        <f t="shared" si="51"/>
        <v>-1.2792434046789425E-3</v>
      </c>
      <c r="H26" s="51">
        <f t="shared" si="51"/>
        <v>-1.849072783792538E-3</v>
      </c>
      <c r="I26" s="51">
        <f>+IFERROR(I24-I25,"nm")</f>
        <v>1.5458605290268046E-4</v>
      </c>
      <c r="J26" s="56">
        <v>0</v>
      </c>
      <c r="K26" s="56">
        <f t="shared" si="50"/>
        <v>0</v>
      </c>
      <c r="L26" s="56">
        <f t="shared" si="50"/>
        <v>0</v>
      </c>
      <c r="M26" s="56">
        <f t="shared" si="50"/>
        <v>0</v>
      </c>
      <c r="N26" s="56">
        <f t="shared" si="50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2">+J27*(1+K28)</f>
        <v>5492</v>
      </c>
      <c r="L27" s="3">
        <f t="shared" ref="L27" si="53">+K27*(1+L28)</f>
        <v>5492</v>
      </c>
      <c r="M27" s="3">
        <f t="shared" ref="M27" si="54">+L27*(1+M28)</f>
        <v>5492</v>
      </c>
      <c r="N27" s="3">
        <f t="shared" ref="N27" si="55">+M27*(1+N28)</f>
        <v>5492</v>
      </c>
    </row>
    <row r="28" spans="1:14" x14ac:dyDescent="0.2">
      <c r="A28" s="48" t="s">
        <v>129</v>
      </c>
      <c r="B28" s="51" t="str">
        <f t="shared" ref="B28" si="56">+IFERROR(B27/A27-1,"nm")</f>
        <v>nm</v>
      </c>
      <c r="C28" s="51">
        <f t="shared" ref="C28" si="57">+IFERROR(C27/B27-1,"nm")</f>
        <v>7.6190476190476142E-2</v>
      </c>
      <c r="D28" s="51">
        <f t="shared" ref="D28" si="58">+IFERROR(D27/C27-1,"nm")</f>
        <v>2.9498525073746285E-2</v>
      </c>
      <c r="E28" s="51">
        <f t="shared" ref="E28" si="59">+IFERROR(E27/D27-1,"nm")</f>
        <v>1.0642652476463343E-2</v>
      </c>
      <c r="F28" s="51">
        <f t="shared" ref="F28" si="60">+IFERROR(F27/E27-1,"nm")</f>
        <v>6.5208586472256025E-2</v>
      </c>
      <c r="G28" s="51">
        <f t="shared" ref="G28" si="61">+IFERROR(G27/F27-1,"nm")</f>
        <v>-0.11806083650190113</v>
      </c>
      <c r="H28" s="51">
        <f t="shared" ref="H28" si="62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3">+K29+K30</f>
        <v>0</v>
      </c>
      <c r="L28" s="51">
        <f t="shared" ref="L28" si="64">+L29+L30</f>
        <v>0</v>
      </c>
      <c r="M28" s="51">
        <f t="shared" ref="M28" si="65">+M29+M30</f>
        <v>0</v>
      </c>
      <c r="N28" s="51">
        <f t="shared" ref="N28" si="66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7">+J29</f>
        <v>0</v>
      </c>
      <c r="L29" s="56">
        <f t="shared" si="67"/>
        <v>0</v>
      </c>
      <c r="M29" s="56">
        <f t="shared" si="67"/>
        <v>0</v>
      </c>
      <c r="N29" s="56">
        <f t="shared" si="67"/>
        <v>0</v>
      </c>
    </row>
    <row r="30" spans="1:14" x14ac:dyDescent="0.2">
      <c r="A30" s="48" t="s">
        <v>138</v>
      </c>
      <c r="B30" s="51" t="str">
        <f t="shared" ref="B30" si="68">+IFERROR(B28-B29,"nm")</f>
        <v>nm</v>
      </c>
      <c r="C30" s="51">
        <f t="shared" ref="C30" si="69">+IFERROR(C28-C29,"nm")</f>
        <v>7.6190476190476142E-2</v>
      </c>
      <c r="D30" s="51">
        <f t="shared" ref="D30" si="70">+IFERROR(D28-D29,"nm")</f>
        <v>2.9498525073746285E-2</v>
      </c>
      <c r="E30" s="51">
        <f t="shared" ref="E30" si="71">+IFERROR(E28-E29,"nm")</f>
        <v>-0.11935734752353666</v>
      </c>
      <c r="F30" s="51">
        <f t="shared" ref="F30" si="72">+IFERROR(F28-F29,"nm")</f>
        <v>-4.7914135277439818E-3</v>
      </c>
      <c r="G30" s="51">
        <f t="shared" ref="G30" si="73">+IFERROR(G28-G29,"nm")</f>
        <v>-5.8060836501901136E-2</v>
      </c>
      <c r="H30" s="51">
        <f t="shared" ref="H30" si="74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5">+J30</f>
        <v>0</v>
      </c>
      <c r="L30" s="56">
        <f t="shared" si="75"/>
        <v>0</v>
      </c>
      <c r="M30" s="56">
        <f t="shared" si="75"/>
        <v>0</v>
      </c>
      <c r="N30" s="56">
        <f t="shared" si="75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6">+J31*(1+K32)</f>
        <v>633</v>
      </c>
      <c r="L31" s="3">
        <f t="shared" ref="L31" si="77">+K31*(1+L32)</f>
        <v>633</v>
      </c>
      <c r="M31" s="3">
        <f t="shared" ref="M31" si="78">+L31*(1+M32)</f>
        <v>633</v>
      </c>
      <c r="N31" s="3">
        <f t="shared" ref="N31" si="79">+M31*(1+N32)</f>
        <v>633</v>
      </c>
    </row>
    <row r="32" spans="1:14" x14ac:dyDescent="0.2">
      <c r="A32" s="48" t="s">
        <v>129</v>
      </c>
      <c r="B32" s="51" t="str">
        <f t="shared" ref="B32" si="80">+IFERROR(B31/A31-1,"nm")</f>
        <v>nm</v>
      </c>
      <c r="C32" s="51">
        <f t="shared" ref="C32" si="81">+IFERROR(C31/B31-1,"nm")</f>
        <v>-0.12742718446601942</v>
      </c>
      <c r="D32" s="51">
        <f t="shared" ref="D32" si="82">+IFERROR(D31/C31-1,"nm")</f>
        <v>-0.10152990264255912</v>
      </c>
      <c r="E32" s="51">
        <f t="shared" ref="E32" si="83">+IFERROR(E31/D31-1,"nm")</f>
        <v>-7.8947368421052655E-2</v>
      </c>
      <c r="F32" s="51">
        <f t="shared" ref="F32" si="84">+IFERROR(F31/E31-1,"nm")</f>
        <v>3.3613445378151141E-3</v>
      </c>
      <c r="G32" s="51">
        <f t="shared" ref="G32" si="85">+IFERROR(G31/F31-1,"nm")</f>
        <v>-0.13567839195979903</v>
      </c>
      <c r="H32" s="51">
        <f t="shared" ref="H32" si="86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7">+K33+K34</f>
        <v>0</v>
      </c>
      <c r="L32" s="51">
        <f t="shared" ref="L32" si="88">+L33+L34</f>
        <v>0</v>
      </c>
      <c r="M32" s="51">
        <f t="shared" ref="M32" si="89">+M33+M34</f>
        <v>0</v>
      </c>
      <c r="N32" s="51">
        <f t="shared" ref="N32" si="90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1">+J33</f>
        <v>0</v>
      </c>
      <c r="L33" s="56">
        <f t="shared" si="91"/>
        <v>0</v>
      </c>
      <c r="M33" s="56">
        <f t="shared" si="91"/>
        <v>0</v>
      </c>
      <c r="N33" s="56">
        <f t="shared" si="91"/>
        <v>0</v>
      </c>
    </row>
    <row r="34" spans="1:14" x14ac:dyDescent="0.2">
      <c r="A34" s="48" t="s">
        <v>138</v>
      </c>
      <c r="B34" s="51" t="str">
        <f t="shared" ref="B34" si="92">+IFERROR(B32-B33,"nm")</f>
        <v>nm</v>
      </c>
      <c r="C34" s="51">
        <f t="shared" ref="C34" si="93">+IFERROR(C32-C33,"nm")</f>
        <v>2.572815533980588E-3</v>
      </c>
      <c r="D34" s="51">
        <f t="shared" ref="D34" si="94">+IFERROR(D32-D33,"nm")</f>
        <v>-1.5299026425591167E-3</v>
      </c>
      <c r="E34" s="51">
        <f t="shared" ref="E34" si="95">+IFERROR(E32-E33,"nm")</f>
        <v>1.0526315789473467E-3</v>
      </c>
      <c r="F34" s="51">
        <f t="shared" ref="F34" si="96">+IFERROR(F32-F33,"nm")</f>
        <v>3.3613445378151141E-3</v>
      </c>
      <c r="G34" s="51">
        <f t="shared" ref="G34" si="97">+IFERROR(G32-G33,"nm")</f>
        <v>4.321608040200986E-3</v>
      </c>
      <c r="H34" s="51">
        <f t="shared" ref="H34" si="98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9">+J34</f>
        <v>0</v>
      </c>
      <c r="L34" s="56">
        <f t="shared" si="99"/>
        <v>0</v>
      </c>
      <c r="M34" s="56">
        <f t="shared" si="99"/>
        <v>0</v>
      </c>
      <c r="N34" s="56">
        <f t="shared" si="99"/>
        <v>0</v>
      </c>
    </row>
    <row r="35" spans="1:14" x14ac:dyDescent="0.2">
      <c r="A35" s="9" t="s">
        <v>130</v>
      </c>
      <c r="B35" s="52">
        <f t="shared" ref="B35:H35" si="100">+B42+B38</f>
        <v>3766</v>
      </c>
      <c r="C35" s="52">
        <f t="shared" si="100"/>
        <v>3896</v>
      </c>
      <c r="D35" s="52">
        <f t="shared" si="100"/>
        <v>4015</v>
      </c>
      <c r="E35" s="52">
        <f t="shared" si="100"/>
        <v>3760</v>
      </c>
      <c r="F35" s="52">
        <f t="shared" si="100"/>
        <v>4074</v>
      </c>
      <c r="G35" s="52">
        <f t="shared" si="100"/>
        <v>3047</v>
      </c>
      <c r="H35" s="52">
        <f t="shared" si="100"/>
        <v>5219</v>
      </c>
      <c r="I35" s="52">
        <f>+I42+I38</f>
        <v>5238</v>
      </c>
      <c r="J35" s="52">
        <f>+J21*J37</f>
        <v>5238</v>
      </c>
      <c r="K35" s="52">
        <f t="shared" ref="K35:N35" si="101">+K21*K37</f>
        <v>5238</v>
      </c>
      <c r="L35" s="52">
        <f t="shared" si="101"/>
        <v>5238</v>
      </c>
      <c r="M35" s="52">
        <f t="shared" si="101"/>
        <v>5238</v>
      </c>
      <c r="N35" s="52">
        <f t="shared" si="101"/>
        <v>5238</v>
      </c>
    </row>
    <row r="36" spans="1:14" x14ac:dyDescent="0.2">
      <c r="A36" s="50" t="s">
        <v>129</v>
      </c>
      <c r="B36" s="51" t="str">
        <f t="shared" ref="B36" si="102">+IFERROR(B35/A35-1,"nm")</f>
        <v>nm</v>
      </c>
      <c r="C36" s="51">
        <f t="shared" ref="C36" si="103">+IFERROR(C35/B35-1,"nm")</f>
        <v>3.4519383961763239E-2</v>
      </c>
      <c r="D36" s="51">
        <f t="shared" ref="D36" si="104">+IFERROR(D35/C35-1,"nm")</f>
        <v>3.0544147843942548E-2</v>
      </c>
      <c r="E36" s="51">
        <f t="shared" ref="E36" si="105">+IFERROR(E35/D35-1,"nm")</f>
        <v>-6.3511830635118338E-2</v>
      </c>
      <c r="F36" s="51">
        <f t="shared" ref="F36" si="106">+IFERROR(F35/E35-1,"nm")</f>
        <v>8.3510638297872308E-2</v>
      </c>
      <c r="G36" s="51">
        <f t="shared" ref="G36" si="107">+IFERROR(G35/F35-1,"nm")</f>
        <v>-0.25208640157093765</v>
      </c>
      <c r="H36" s="51">
        <f t="shared" ref="H36" si="108">+IFERROR(H35/G35-1,"nm")</f>
        <v>0.71283229405973092</v>
      </c>
      <c r="I36" s="51">
        <f>+IFERROR(I35/H35-1,"nm")</f>
        <v>3.6405441655489312E-3</v>
      </c>
      <c r="J36" s="51">
        <f t="shared" ref="J36:N36" si="109">+IFERROR(J35/I35-1,"nm")</f>
        <v>0</v>
      </c>
      <c r="K36" s="51">
        <f t="shared" si="109"/>
        <v>0</v>
      </c>
      <c r="L36" s="51">
        <f t="shared" si="109"/>
        <v>0</v>
      </c>
      <c r="M36" s="51">
        <f t="shared" si="109"/>
        <v>0</v>
      </c>
      <c r="N36" s="51">
        <f t="shared" si="109"/>
        <v>0</v>
      </c>
    </row>
    <row r="37" spans="1:14" x14ac:dyDescent="0.2">
      <c r="A37" s="50" t="s">
        <v>131</v>
      </c>
      <c r="B37" s="51">
        <f t="shared" ref="B37:H37" si="110">+IFERROR(B35/B$21,"nm")</f>
        <v>0.27409024745269289</v>
      </c>
      <c r="C37" s="51">
        <f t="shared" si="110"/>
        <v>0.26388512598211866</v>
      </c>
      <c r="D37" s="51">
        <f t="shared" si="110"/>
        <v>0.26386698212407994</v>
      </c>
      <c r="E37" s="51">
        <f t="shared" si="110"/>
        <v>0.25311342982160889</v>
      </c>
      <c r="F37" s="51">
        <f t="shared" si="110"/>
        <v>0.25619418941013711</v>
      </c>
      <c r="G37" s="51">
        <f t="shared" si="110"/>
        <v>0.2103700635183651</v>
      </c>
      <c r="H37" s="51">
        <f t="shared" si="110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1">+J37</f>
        <v>0.28540293140086087</v>
      </c>
      <c r="L37" s="56">
        <f t="shared" si="111"/>
        <v>0.28540293140086087</v>
      </c>
      <c r="M37" s="56">
        <f t="shared" si="111"/>
        <v>0.28540293140086087</v>
      </c>
      <c r="N37" s="56">
        <f t="shared" si="111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2">+K41*K48</f>
        <v>124.00000000000001</v>
      </c>
      <c r="L38" s="52">
        <f t="shared" si="112"/>
        <v>124.00000000000001</v>
      </c>
      <c r="M38" s="52">
        <f t="shared" si="112"/>
        <v>124.00000000000001</v>
      </c>
      <c r="N38" s="52">
        <f t="shared" si="112"/>
        <v>124.00000000000001</v>
      </c>
    </row>
    <row r="39" spans="1:14" x14ac:dyDescent="0.2">
      <c r="A39" s="50" t="s">
        <v>129</v>
      </c>
      <c r="B39" s="51" t="str">
        <f t="shared" ref="B39" si="113">+IFERROR(B38/A38-1,"nm")</f>
        <v>nm</v>
      </c>
      <c r="C39" s="51">
        <f t="shared" ref="C39" si="114">+IFERROR(C38/B38-1,"nm")</f>
        <v>9.9173553719008156E-2</v>
      </c>
      <c r="D39" s="51">
        <f t="shared" ref="D39" si="115">+IFERROR(D38/C38-1,"nm")</f>
        <v>5.2631578947368363E-2</v>
      </c>
      <c r="E39" s="51">
        <f t="shared" ref="E39" si="116">+IFERROR(E38/D38-1,"nm")</f>
        <v>0.14285714285714279</v>
      </c>
      <c r="F39" s="51">
        <f t="shared" ref="F39" si="117">+IFERROR(F38/E38-1,"nm")</f>
        <v>-6.8749999999999978E-2</v>
      </c>
      <c r="G39" s="51">
        <f t="shared" ref="G39" si="118">+IFERROR(G38/F38-1,"nm")</f>
        <v>-6.7114093959731447E-3</v>
      </c>
      <c r="H39" s="51">
        <f t="shared" ref="H39" si="119">+IFERROR(H38/G38-1,"nm")</f>
        <v>-0.1216216216216216</v>
      </c>
      <c r="I39" s="51">
        <f>+IFERROR(I38/H38-1,"nm")</f>
        <v>-4.6153846153846101E-2</v>
      </c>
      <c r="J39" s="51">
        <f t="shared" ref="J39" si="120">+IFERROR(J38/I38-1,"nm")</f>
        <v>2.2204460492503131E-16</v>
      </c>
      <c r="K39" s="51">
        <f t="shared" ref="K39" si="121">+IFERROR(K38/J38-1,"nm")</f>
        <v>0</v>
      </c>
      <c r="L39" s="51">
        <f t="shared" ref="L39" si="122">+IFERROR(L38/K38-1,"nm")</f>
        <v>0</v>
      </c>
      <c r="M39" s="51">
        <f t="shared" ref="M39" si="123">+IFERROR(M38/L38-1,"nm")</f>
        <v>0</v>
      </c>
      <c r="N39" s="51">
        <f t="shared" ref="N39" si="124">+IFERROR(N38/M38-1,"nm")</f>
        <v>0</v>
      </c>
    </row>
    <row r="40" spans="1:14" x14ac:dyDescent="0.2">
      <c r="A40" s="50" t="s">
        <v>133</v>
      </c>
      <c r="B40" s="51">
        <f t="shared" ref="B40:H40" si="125">+IFERROR(B38/B$21,"nm")</f>
        <v>8.8064046579330417E-3</v>
      </c>
      <c r="C40" s="51">
        <f t="shared" si="125"/>
        <v>9.0083988079111346E-3</v>
      </c>
      <c r="D40" s="51">
        <f t="shared" si="125"/>
        <v>9.2008412197686646E-3</v>
      </c>
      <c r="E40" s="51">
        <f t="shared" si="125"/>
        <v>1.0770784247728038E-2</v>
      </c>
      <c r="F40" s="51">
        <f t="shared" si="125"/>
        <v>9.3698905798012821E-3</v>
      </c>
      <c r="G40" s="51">
        <f t="shared" si="125"/>
        <v>1.0218171775752554E-2</v>
      </c>
      <c r="H40" s="51">
        <f t="shared" si="125"/>
        <v>7.5673787764130628E-3</v>
      </c>
      <c r="I40" s="51">
        <f>+IFERROR(I38/I$21,"nm")</f>
        <v>6.7563886013185855E-3</v>
      </c>
      <c r="J40" s="51">
        <f t="shared" ref="J40:N40" si="126">+IFERROR(J38/J$21,"nm")</f>
        <v>6.7563886013185864E-3</v>
      </c>
      <c r="K40" s="51">
        <f t="shared" si="126"/>
        <v>6.7563886013185864E-3</v>
      </c>
      <c r="L40" s="51">
        <f t="shared" si="126"/>
        <v>6.7563886013185864E-3</v>
      </c>
      <c r="M40" s="51">
        <f t="shared" si="126"/>
        <v>6.7563886013185864E-3</v>
      </c>
      <c r="N40" s="51">
        <f t="shared" si="126"/>
        <v>6.7563886013185864E-3</v>
      </c>
    </row>
    <row r="41" spans="1:14" x14ac:dyDescent="0.2">
      <c r="A41" s="50" t="s">
        <v>142</v>
      </c>
      <c r="B41" s="51">
        <f t="shared" ref="B41:H41" si="127">+IFERROR(B38/B48,"nm")</f>
        <v>0.19145569620253164</v>
      </c>
      <c r="C41" s="51">
        <f t="shared" si="127"/>
        <v>0.17924528301886791</v>
      </c>
      <c r="D41" s="51">
        <f t="shared" si="127"/>
        <v>0.17094017094017094</v>
      </c>
      <c r="E41" s="51">
        <f t="shared" si="127"/>
        <v>0.18867924528301888</v>
      </c>
      <c r="F41" s="51">
        <f t="shared" si="127"/>
        <v>0.18304668304668303</v>
      </c>
      <c r="G41" s="51">
        <f t="shared" si="127"/>
        <v>0.22945736434108527</v>
      </c>
      <c r="H41" s="51">
        <f t="shared" si="127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8">+J41</f>
        <v>0.19405320813771518</v>
      </c>
      <c r="L41" s="56">
        <f t="shared" si="128"/>
        <v>0.19405320813771518</v>
      </c>
      <c r="M41" s="56">
        <f t="shared" si="128"/>
        <v>0.19405320813771518</v>
      </c>
      <c r="N41" s="56">
        <f t="shared" si="128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9">+K35-K38</f>
        <v>5114</v>
      </c>
      <c r="L42" s="9">
        <f t="shared" si="129"/>
        <v>5114</v>
      </c>
      <c r="M42" s="9">
        <f t="shared" si="129"/>
        <v>5114</v>
      </c>
      <c r="N42" s="9">
        <f t="shared" si="129"/>
        <v>5114</v>
      </c>
    </row>
    <row r="43" spans="1:14" x14ac:dyDescent="0.2">
      <c r="A43" s="50" t="s">
        <v>129</v>
      </c>
      <c r="B43" s="51" t="str">
        <f t="shared" ref="B43" si="130">+IFERROR(B42/A42-1,"nm")</f>
        <v>nm</v>
      </c>
      <c r="C43" s="51">
        <f t="shared" ref="C43" si="131">+IFERROR(C42/B42-1,"nm")</f>
        <v>3.2373113854595292E-2</v>
      </c>
      <c r="D43" s="51">
        <f t="shared" ref="D43" si="132">+IFERROR(D42/C42-1,"nm")</f>
        <v>2.9763486579856391E-2</v>
      </c>
      <c r="E43" s="51">
        <f t="shared" ref="E43" si="133">+IFERROR(E42/D42-1,"nm")</f>
        <v>-7.096774193548383E-2</v>
      </c>
      <c r="F43" s="51">
        <f t="shared" ref="F43" si="134">+IFERROR(F42/E42-1,"nm")</f>
        <v>9.0277777777777679E-2</v>
      </c>
      <c r="G43" s="51">
        <f t="shared" ref="G43" si="135">+IFERROR(G42/F42-1,"nm")</f>
        <v>-0.26140127388535028</v>
      </c>
      <c r="H43" s="51">
        <f t="shared" ref="H43" si="136">+IFERROR(H42/G42-1,"nm")</f>
        <v>0.75543290789927564</v>
      </c>
      <c r="I43" s="51">
        <f>+IFERROR(I42/H42-1,"nm")</f>
        <v>4.9125564943997002E-3</v>
      </c>
      <c r="J43" s="51">
        <f t="shared" ref="J43:N43" si="137">+IFERROR(J42/I42-1,"nm")</f>
        <v>0</v>
      </c>
      <c r="K43" s="51">
        <f t="shared" si="137"/>
        <v>0</v>
      </c>
      <c r="L43" s="51">
        <f t="shared" si="137"/>
        <v>0</v>
      </c>
      <c r="M43" s="51">
        <f t="shared" si="137"/>
        <v>0</v>
      </c>
      <c r="N43" s="51">
        <f t="shared" si="137"/>
        <v>0</v>
      </c>
    </row>
    <row r="44" spans="1:14" x14ac:dyDescent="0.2">
      <c r="A44" s="50" t="s">
        <v>131</v>
      </c>
      <c r="B44" s="51">
        <f t="shared" ref="B44:H44" si="138">+IFERROR(B42/B$21,"nm")</f>
        <v>0.26528384279475981</v>
      </c>
      <c r="C44" s="51">
        <f t="shared" si="138"/>
        <v>0.25487672717420751</v>
      </c>
      <c r="D44" s="51">
        <f t="shared" si="138"/>
        <v>0.25466614090431128</v>
      </c>
      <c r="E44" s="51">
        <f t="shared" si="138"/>
        <v>0.24234264557388085</v>
      </c>
      <c r="F44" s="51">
        <f t="shared" si="138"/>
        <v>0.2468242988303358</v>
      </c>
      <c r="G44" s="51">
        <f t="shared" si="138"/>
        <v>0.20015189174261253</v>
      </c>
      <c r="H44" s="51">
        <f t="shared" si="138"/>
        <v>0.29623377379358518</v>
      </c>
      <c r="I44" s="51">
        <f>+IFERROR(I42/I$21,"nm")</f>
        <v>0.27864654279954232</v>
      </c>
      <c r="J44" s="51">
        <f t="shared" ref="J44:N44" si="139">+IFERROR(J42/J$21,"nm")</f>
        <v>0.27864654279954232</v>
      </c>
      <c r="K44" s="51">
        <f t="shared" si="139"/>
        <v>0.27864654279954232</v>
      </c>
      <c r="L44" s="51">
        <f t="shared" si="139"/>
        <v>0.27864654279954232</v>
      </c>
      <c r="M44" s="51">
        <f t="shared" si="139"/>
        <v>0.27864654279954232</v>
      </c>
      <c r="N44" s="51">
        <f t="shared" si="139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0">+K21*K47</f>
        <v>146</v>
      </c>
      <c r="L45" s="52">
        <f t="shared" si="140"/>
        <v>146</v>
      </c>
      <c r="M45" s="52">
        <f t="shared" si="140"/>
        <v>146</v>
      </c>
      <c r="N45" s="52">
        <f t="shared" si="140"/>
        <v>146</v>
      </c>
    </row>
    <row r="46" spans="1:14" x14ac:dyDescent="0.2">
      <c r="A46" s="50" t="s">
        <v>129</v>
      </c>
      <c r="B46" s="51" t="str">
        <f t="shared" ref="B46" si="141">+IFERROR(B45/A45-1,"nm")</f>
        <v>nm</v>
      </c>
      <c r="C46" s="51" t="str">
        <f t="shared" ref="C46" si="142">+IFERROR(C45/B45-1,"nm")</f>
        <v>nm</v>
      </c>
      <c r="D46" s="51" t="str">
        <f t="shared" ref="D46" si="143">+IFERROR(D45/C45-1,"nm")</f>
        <v>nm</v>
      </c>
      <c r="E46" s="51" t="str">
        <f t="shared" ref="E46" si="144">+IFERROR(E45/D45-1,"nm")</f>
        <v>nm</v>
      </c>
      <c r="F46" s="51">
        <f t="shared" ref="F46" si="145">+IFERROR(F45/E45-1,"nm")</f>
        <v>-0.40306122448979587</v>
      </c>
      <c r="G46" s="51">
        <f t="shared" ref="G46" si="146">+IFERROR(G45/F45-1,"nm")</f>
        <v>-5.9829059829059839E-2</v>
      </c>
      <c r="H46" s="51">
        <f t="shared" ref="H46" si="147">+IFERROR(H45/G45-1,"nm")</f>
        <v>-0.10909090909090913</v>
      </c>
      <c r="I46" s="51">
        <f>+IFERROR(I45/H45-1,"nm")</f>
        <v>0.48979591836734704</v>
      </c>
      <c r="J46" s="51">
        <f t="shared" ref="J46" si="148">+IFERROR(J45/I45-1,"nm")</f>
        <v>0</v>
      </c>
      <c r="K46" s="51">
        <f t="shared" ref="K46" si="149">+IFERROR(K45/J45-1,"nm")</f>
        <v>0</v>
      </c>
      <c r="L46" s="51">
        <f t="shared" ref="L46" si="150">+IFERROR(L45/K45-1,"nm")</f>
        <v>0</v>
      </c>
      <c r="M46" s="51">
        <f t="shared" ref="M46" si="151">+IFERROR(M45/L45-1,"nm")</f>
        <v>0</v>
      </c>
      <c r="N46" s="51">
        <f t="shared" ref="N46" si="152">+IFERROR(N45/M45-1,"nm")</f>
        <v>0</v>
      </c>
    </row>
    <row r="47" spans="1:14" x14ac:dyDescent="0.2">
      <c r="A47" s="50" t="s">
        <v>133</v>
      </c>
      <c r="B47" s="51">
        <f t="shared" ref="B47:H47" si="153">+IFERROR(B45/B$21,"nm")</f>
        <v>0</v>
      </c>
      <c r="C47" s="51">
        <f t="shared" si="153"/>
        <v>0</v>
      </c>
      <c r="D47" s="51">
        <f t="shared" si="153"/>
        <v>0</v>
      </c>
      <c r="E47" s="51">
        <f t="shared" si="153"/>
        <v>1.3194210703466847E-2</v>
      </c>
      <c r="F47" s="51">
        <f t="shared" si="153"/>
        <v>7.3575650861526856E-3</v>
      </c>
      <c r="G47" s="51">
        <f t="shared" si="153"/>
        <v>7.5945871306268989E-3</v>
      </c>
      <c r="H47" s="51">
        <f t="shared" si="153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4">+J47</f>
        <v>7.9551027080041418E-3</v>
      </c>
      <c r="L47" s="56">
        <f t="shared" si="154"/>
        <v>7.9551027080041418E-3</v>
      </c>
      <c r="M47" s="56">
        <f t="shared" si="154"/>
        <v>7.9551027080041418E-3</v>
      </c>
      <c r="N47" s="56">
        <f t="shared" si="154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5">+K21*K50</f>
        <v>639.00000000000011</v>
      </c>
      <c r="L48" s="52">
        <f t="shared" si="155"/>
        <v>639.00000000000011</v>
      </c>
      <c r="M48" s="52">
        <f t="shared" si="155"/>
        <v>639.00000000000011</v>
      </c>
      <c r="N48" s="52">
        <f t="shared" si="155"/>
        <v>639.00000000000011</v>
      </c>
    </row>
    <row r="49" spans="1:14" x14ac:dyDescent="0.2">
      <c r="A49" s="50" t="s">
        <v>129</v>
      </c>
      <c r="B49" s="51" t="str">
        <f t="shared" ref="B49" si="156">+IFERROR(B48/A48-1,"nm")</f>
        <v>nm</v>
      </c>
      <c r="C49" s="51">
        <f t="shared" ref="C49" si="157">+IFERROR(C48/B48-1,"nm")</f>
        <v>0.17405063291139244</v>
      </c>
      <c r="D49" s="51">
        <f t="shared" ref="D49" si="158">+IFERROR(D48/C48-1,"nm")</f>
        <v>0.10377358490566047</v>
      </c>
      <c r="E49" s="51">
        <f t="shared" ref="E49" si="159">+IFERROR(E48/D48-1,"nm")</f>
        <v>3.5409035409035505E-2</v>
      </c>
      <c r="F49" s="51">
        <f t="shared" ref="F49" si="160">+IFERROR(F48/E48-1,"nm")</f>
        <v>-4.0094339622641528E-2</v>
      </c>
      <c r="G49" s="51">
        <f t="shared" ref="G49" si="161">+IFERROR(G48/F48-1,"nm")</f>
        <v>-0.20761670761670759</v>
      </c>
      <c r="H49" s="51">
        <f t="shared" ref="H49" si="162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3">+K50+K51</f>
        <v>3.4817196098730456E-2</v>
      </c>
      <c r="L49" s="51">
        <f t="shared" ref="L49" si="164">+L50+L51</f>
        <v>3.4817196098730456E-2</v>
      </c>
      <c r="M49" s="51">
        <f t="shared" ref="M49" si="165">+M50+M51</f>
        <v>3.4817196098730456E-2</v>
      </c>
      <c r="N49" s="51">
        <f t="shared" ref="N49" si="166">+N50+N51</f>
        <v>3.4817196098730456E-2</v>
      </c>
    </row>
    <row r="50" spans="1:14" x14ac:dyDescent="0.2">
      <c r="A50" s="50" t="s">
        <v>133</v>
      </c>
      <c r="B50" s="51">
        <f t="shared" ref="B50:H50" si="167">+IFERROR(B48/B$21,"nm")</f>
        <v>4.599708879184862E-2</v>
      </c>
      <c r="C50" s="51">
        <f t="shared" si="167"/>
        <v>5.0257382823083174E-2</v>
      </c>
      <c r="D50" s="51">
        <f t="shared" si="167"/>
        <v>5.3824921135646686E-2</v>
      </c>
      <c r="E50" s="51">
        <f t="shared" si="167"/>
        <v>5.7085156512958597E-2</v>
      </c>
      <c r="F50" s="51">
        <f t="shared" si="167"/>
        <v>5.1188529744686205E-2</v>
      </c>
      <c r="G50" s="51">
        <f t="shared" si="167"/>
        <v>4.4531897265948632E-2</v>
      </c>
      <c r="H50" s="51">
        <f t="shared" si="167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8">+J50</f>
        <v>3.4817196098730456E-2</v>
      </c>
      <c r="L50" s="56">
        <f t="shared" si="168"/>
        <v>3.4817196098730456E-2</v>
      </c>
      <c r="M50" s="56">
        <f t="shared" si="168"/>
        <v>3.4817196098730456E-2</v>
      </c>
      <c r="N50" s="56">
        <f t="shared" si="168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9">K54+K58+K62</f>
        <v>12479</v>
      </c>
      <c r="L52">
        <f t="shared" si="169"/>
        <v>12479</v>
      </c>
      <c r="M52">
        <f t="shared" si="169"/>
        <v>12479</v>
      </c>
      <c r="N52">
        <f t="shared" si="169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0">G52/F52-1</f>
        <v>-4.7390949857317621E-2</v>
      </c>
      <c r="H53" s="64">
        <f t="shared" si="170"/>
        <v>0.22563389322777372</v>
      </c>
      <c r="I53" s="61">
        <f t="shared" si="170"/>
        <v>8.9298184357541999E-2</v>
      </c>
      <c r="J53" s="64">
        <f>J52/I52-1</f>
        <v>0</v>
      </c>
      <c r="K53" s="64">
        <f t="shared" ref="K53:N53" si="171">K52/J52-1</f>
        <v>0</v>
      </c>
      <c r="L53" s="64">
        <f t="shared" si="171"/>
        <v>0</v>
      </c>
      <c r="M53" s="64">
        <f t="shared" si="171"/>
        <v>0</v>
      </c>
      <c r="N53" s="64">
        <f t="shared" si="171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2">+J54*(1+K55)</f>
        <v>7388</v>
      </c>
      <c r="L54" s="3">
        <f t="shared" ref="L54" si="173">+K54*(1+L55)</f>
        <v>7388</v>
      </c>
      <c r="M54" s="3">
        <f t="shared" ref="M54" si="174">+L54*(1+M55)</f>
        <v>7388</v>
      </c>
      <c r="N54" s="3">
        <f t="shared" ref="N54" si="175">+M54*(1+N55)</f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6">G54/F54-1</f>
        <v>-6.3721595423486432E-2</v>
      </c>
      <c r="H55" s="64">
        <f t="shared" si="176"/>
        <v>0.18295994568907004</v>
      </c>
      <c r="I55" s="64">
        <f t="shared" si="176"/>
        <v>5.9971305595408975E-2</v>
      </c>
      <c r="J55" s="73">
        <f>J56+J57</f>
        <v>0</v>
      </c>
      <c r="K55" s="73">
        <f t="shared" ref="K55:N55" si="177">K56+K57</f>
        <v>0</v>
      </c>
      <c r="L55" s="73">
        <f t="shared" si="177"/>
        <v>0</v>
      </c>
      <c r="M55" s="73">
        <f t="shared" si="177"/>
        <v>0</v>
      </c>
      <c r="N55" s="73">
        <f t="shared" si="177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8">+J56</f>
        <v>0</v>
      </c>
      <c r="L56" s="56">
        <f t="shared" ref="L56:L57" si="179">+K56</f>
        <v>0</v>
      </c>
      <c r="M56" s="56">
        <f t="shared" ref="M56:M57" si="180">+L56</f>
        <v>0</v>
      </c>
      <c r="N56" s="56">
        <f t="shared" ref="N56:N57" si="181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2">G55-G56</f>
        <v>-3.7215954234864346E-3</v>
      </c>
      <c r="H57" s="61">
        <f t="shared" si="182"/>
        <v>2.9599456890700426E-3</v>
      </c>
      <c r="I57" s="61">
        <f t="shared" si="182"/>
        <v>-3.0028694404591022E-2</v>
      </c>
      <c r="J57" s="56">
        <v>0</v>
      </c>
      <c r="K57" s="56">
        <f t="shared" si="178"/>
        <v>0</v>
      </c>
      <c r="L57" s="56">
        <f t="shared" si="179"/>
        <v>0</v>
      </c>
      <c r="M57" s="56">
        <f t="shared" si="180"/>
        <v>0</v>
      </c>
      <c r="N57" s="56">
        <f t="shared" si="181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3">J58*(1+K59)</f>
        <v>4527</v>
      </c>
      <c r="L58">
        <f t="shared" si="183"/>
        <v>4527</v>
      </c>
      <c r="M58">
        <f t="shared" si="183"/>
        <v>4527</v>
      </c>
      <c r="N58">
        <f t="shared" si="183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4">G58/F58-1</f>
        <v>-1.1013929381276322E-2</v>
      </c>
      <c r="H59" s="64">
        <f t="shared" si="184"/>
        <v>0.30887651490337364</v>
      </c>
      <c r="I59" s="64">
        <f t="shared" si="184"/>
        <v>0.13288288288288297</v>
      </c>
      <c r="J59" s="73">
        <f>J60+J61</f>
        <v>0</v>
      </c>
      <c r="K59" s="73">
        <f t="shared" ref="K59:N59" si="185">K60+K61</f>
        <v>0</v>
      </c>
      <c r="L59" s="73">
        <f t="shared" si="185"/>
        <v>0</v>
      </c>
      <c r="M59" s="73">
        <f t="shared" si="185"/>
        <v>0</v>
      </c>
      <c r="N59" s="73">
        <f t="shared" si="185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6">G59-G60</f>
        <v>-1.0139293812763215E-3</v>
      </c>
      <c r="H61" s="64">
        <f t="shared" si="186"/>
        <v>-1.1234850966263532E-3</v>
      </c>
      <c r="I61" s="64">
        <f t="shared" si="186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7">J62*(1+K63)</f>
        <v>564</v>
      </c>
      <c r="L62">
        <f t="shared" si="187"/>
        <v>564</v>
      </c>
      <c r="M62">
        <f t="shared" si="187"/>
        <v>564</v>
      </c>
      <c r="N62">
        <f t="shared" si="187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8">G62/F62-1</f>
        <v>-6.944444444444442E-2</v>
      </c>
      <c r="H63" s="64">
        <f t="shared" si="188"/>
        <v>0.21890547263681581</v>
      </c>
      <c r="I63" s="64">
        <f t="shared" si="188"/>
        <v>0.15102040816326534</v>
      </c>
      <c r="J63" s="73">
        <f>J64+J65</f>
        <v>0</v>
      </c>
      <c r="K63" s="73">
        <f t="shared" ref="K63:N63" si="189">K64+K65</f>
        <v>0</v>
      </c>
      <c r="L63" s="73">
        <f t="shared" si="189"/>
        <v>0</v>
      </c>
      <c r="M63" s="73">
        <f t="shared" si="189"/>
        <v>0</v>
      </c>
      <c r="N63" s="73">
        <f t="shared" si="189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0">G63-G64</f>
        <v>5.5555555555558689E-4</v>
      </c>
      <c r="H65" s="64">
        <f t="shared" si="190"/>
        <v>-1.094527363184189E-3</v>
      </c>
      <c r="I65" s="64">
        <f t="shared" si="190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91">F69+F73</f>
        <v>2106</v>
      </c>
      <c r="G66" s="66">
        <f t="shared" si="191"/>
        <v>1673</v>
      </c>
      <c r="H66" s="66">
        <f t="shared" si="191"/>
        <v>2571</v>
      </c>
      <c r="I66" s="66">
        <f t="shared" si="191"/>
        <v>3427</v>
      </c>
      <c r="J66" s="52">
        <f>+J52*J68</f>
        <v>3427</v>
      </c>
      <c r="K66" s="52">
        <f t="shared" ref="K66:N66" si="192">+K52*K68</f>
        <v>3427</v>
      </c>
      <c r="L66" s="52">
        <f t="shared" si="192"/>
        <v>3427</v>
      </c>
      <c r="M66" s="52">
        <f t="shared" si="192"/>
        <v>3427</v>
      </c>
      <c r="N66" s="52">
        <f t="shared" si="192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3">G66/F66-1</f>
        <v>-0.20560303893637222</v>
      </c>
      <c r="H67" s="62">
        <f t="shared" si="193"/>
        <v>0.53676031081888831</v>
      </c>
      <c r="I67" s="62">
        <f t="shared" si="193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I68" si="194">F66/F52</f>
        <v>0.21463514064410924</v>
      </c>
      <c r="G68" s="62">
        <f t="shared" si="194"/>
        <v>0.17898791055953783</v>
      </c>
      <c r="H68" s="62">
        <f t="shared" si="194"/>
        <v>0.22442388268156424</v>
      </c>
      <c r="I68" s="62">
        <f t="shared" si="194"/>
        <v>0.27462136389133746</v>
      </c>
      <c r="J68" s="62">
        <f>I68</f>
        <v>0.27462136389133746</v>
      </c>
      <c r="K68" s="62">
        <f t="shared" ref="K68:N68" si="195">J68</f>
        <v>0.27462136389133746</v>
      </c>
      <c r="L68" s="62">
        <f t="shared" si="195"/>
        <v>0.27462136389133746</v>
      </c>
      <c r="M68" s="62">
        <f t="shared" si="195"/>
        <v>0.27462136389133746</v>
      </c>
      <c r="N68" s="62">
        <f t="shared" si="195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6">+K72*K79</f>
        <v>134</v>
      </c>
      <c r="L69" s="52">
        <f t="shared" si="196"/>
        <v>134</v>
      </c>
      <c r="M69" s="52">
        <f t="shared" si="196"/>
        <v>134</v>
      </c>
      <c r="N69" s="52">
        <f t="shared" si="196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7">F69/F52</f>
        <v>1.1312678353037097E-2</v>
      </c>
      <c r="G71" s="61">
        <f t="shared" si="197"/>
        <v>1.4122178239007167E-2</v>
      </c>
      <c r="H71" s="61">
        <f t="shared" si="197"/>
        <v>1.1871508379888268E-2</v>
      </c>
      <c r="I71" s="61">
        <f t="shared" si="197"/>
        <v>1.0738039907043834E-2</v>
      </c>
      <c r="J71" s="61">
        <f>I71</f>
        <v>1.0738039907043834E-2</v>
      </c>
      <c r="K71" s="61">
        <f t="shared" ref="K71:N71" si="198">J71</f>
        <v>1.0738039907043834E-2</v>
      </c>
      <c r="L71" s="61">
        <f t="shared" si="198"/>
        <v>1.0738039907043834E-2</v>
      </c>
      <c r="M71" s="61">
        <f t="shared" si="198"/>
        <v>1.0738039907043834E-2</v>
      </c>
      <c r="N71" s="61">
        <f t="shared" si="198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199">F69/F79</f>
        <v>0.11948331539289558</v>
      </c>
      <c r="G72" s="61">
        <f t="shared" si="199"/>
        <v>0.14915254237288136</v>
      </c>
      <c r="H72" s="61">
        <f t="shared" si="199"/>
        <v>0.1384928716904277</v>
      </c>
      <c r="I72" s="61">
        <f t="shared" si="199"/>
        <v>0.14565217391304347</v>
      </c>
      <c r="J72" s="61">
        <f>I72</f>
        <v>0.14565217391304347</v>
      </c>
      <c r="K72" s="61">
        <f t="shared" ref="K72:N72" si="200">J72</f>
        <v>0.14565217391304347</v>
      </c>
      <c r="L72" s="61">
        <f t="shared" si="200"/>
        <v>0.14565217391304347</v>
      </c>
      <c r="M72" s="61">
        <f t="shared" si="200"/>
        <v>0.14565217391304347</v>
      </c>
      <c r="N72" s="61">
        <f t="shared" si="200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1">K66-K69</f>
        <v>3293</v>
      </c>
      <c r="L73" s="66">
        <f t="shared" si="201"/>
        <v>3293</v>
      </c>
      <c r="M73" s="66">
        <f t="shared" si="201"/>
        <v>3293</v>
      </c>
      <c r="N73" s="66">
        <f t="shared" si="201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2">F73/E73-1</f>
        <v>0.25708884688090738</v>
      </c>
      <c r="G74" s="62">
        <f t="shared" si="202"/>
        <v>-0.22756892230576442</v>
      </c>
      <c r="H74" s="62">
        <f t="shared" si="202"/>
        <v>0.58014276443867629</v>
      </c>
      <c r="I74" s="62">
        <f t="shared" si="202"/>
        <v>0.3523613963039014</v>
      </c>
      <c r="J74" s="51">
        <f t="shared" ref="J74" si="203">+IFERROR(J73/I73-1,"nm")</f>
        <v>0</v>
      </c>
      <c r="K74" s="51">
        <f t="shared" ref="K74" si="204">+IFERROR(K73/J73-1,"nm")</f>
        <v>0</v>
      </c>
      <c r="L74" s="51">
        <f t="shared" ref="L74" si="205">+IFERROR(L73/K73-1,"nm")</f>
        <v>0</v>
      </c>
      <c r="M74" s="51">
        <f t="shared" ref="M74" si="206">+IFERROR(M73/L73-1,"nm")</f>
        <v>0</v>
      </c>
      <c r="N74" s="51">
        <f t="shared" ref="N74" si="207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8">F73/F52</f>
        <v>0.20332246229107215</v>
      </c>
      <c r="G75" s="62">
        <f t="shared" si="208"/>
        <v>0.16486573232053064</v>
      </c>
      <c r="H75" s="62">
        <f t="shared" si="208"/>
        <v>0.21255237430167598</v>
      </c>
      <c r="I75" s="62">
        <f t="shared" si="208"/>
        <v>0.26388332398429359</v>
      </c>
      <c r="J75" s="61">
        <f>I75</f>
        <v>0.26388332398429359</v>
      </c>
      <c r="K75" s="61">
        <f t="shared" ref="K75:N75" si="209">J75</f>
        <v>0.26388332398429359</v>
      </c>
      <c r="L75" s="61">
        <f t="shared" si="209"/>
        <v>0.26388332398429359</v>
      </c>
      <c r="M75" s="61">
        <f t="shared" si="209"/>
        <v>0.26388332398429359</v>
      </c>
      <c r="N75" s="61">
        <f t="shared" si="209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0">K52*K78</f>
        <v>196.99999999999997</v>
      </c>
      <c r="L76">
        <f t="shared" si="210"/>
        <v>196.99999999999997</v>
      </c>
      <c r="M76">
        <f t="shared" si="210"/>
        <v>196.99999999999997</v>
      </c>
      <c r="N76">
        <f t="shared" si="210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1">G76/F76-1</f>
        <v>-0.40343347639484983</v>
      </c>
      <c r="H77" s="62">
        <f t="shared" si="211"/>
        <v>0.10071942446043169</v>
      </c>
      <c r="I77" s="62">
        <f t="shared" si="211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2">F76/F52</f>
        <v>2.3746432939258051E-2</v>
      </c>
      <c r="G78" s="61">
        <f t="shared" si="212"/>
        <v>1.4871081630469669E-2</v>
      </c>
      <c r="H78" s="61">
        <f t="shared" si="212"/>
        <v>1.3355446927374302E-2</v>
      </c>
      <c r="I78" s="61">
        <f t="shared" si="212"/>
        <v>1.5786521355877874E-2</v>
      </c>
      <c r="J78" s="61">
        <f>I78</f>
        <v>1.5786521355877874E-2</v>
      </c>
      <c r="K78" s="61">
        <f t="shared" ref="K78:N78" si="213">J78</f>
        <v>1.5786521355877874E-2</v>
      </c>
      <c r="L78" s="61">
        <f t="shared" si="213"/>
        <v>1.5786521355877874E-2</v>
      </c>
      <c r="M78" s="61">
        <f t="shared" si="213"/>
        <v>1.5786521355877874E-2</v>
      </c>
      <c r="N78" s="61">
        <f t="shared" si="213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4">K52*K81</f>
        <v>920.00000000000011</v>
      </c>
      <c r="L79">
        <f t="shared" si="214"/>
        <v>920.00000000000011</v>
      </c>
      <c r="M79">
        <f t="shared" si="214"/>
        <v>920.00000000000011</v>
      </c>
      <c r="N79">
        <f t="shared" si="214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5">G79/F79-1</f>
        <v>-4.7362755651237931E-2</v>
      </c>
      <c r="H80" s="61">
        <f t="shared" si="215"/>
        <v>0.1096045197740112</v>
      </c>
      <c r="I80" s="61">
        <f t="shared" si="215"/>
        <v>-6.313645621181263E-2</v>
      </c>
      <c r="J80" s="51">
        <f>J79/I79-1</f>
        <v>0</v>
      </c>
      <c r="K80" s="51">
        <f t="shared" ref="K80:N80" si="216">K79/J79-1</f>
        <v>0</v>
      </c>
      <c r="L80" s="51">
        <f t="shared" si="216"/>
        <v>0</v>
      </c>
      <c r="M80" s="51">
        <f t="shared" si="216"/>
        <v>0</v>
      </c>
      <c r="N80" s="51">
        <f t="shared" si="216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7">F79/F52</f>
        <v>9.4679983693436609E-2</v>
      </c>
      <c r="G81" s="61">
        <f t="shared" si="217"/>
        <v>9.4682785920616241E-2</v>
      </c>
      <c r="H81" s="61">
        <f t="shared" si="217"/>
        <v>8.5719273743016758E-2</v>
      </c>
      <c r="I81" s="61">
        <f t="shared" si="217"/>
        <v>7.37238560782114E-2</v>
      </c>
      <c r="J81" s="61">
        <f>I81</f>
        <v>7.37238560782114E-2</v>
      </c>
      <c r="K81" s="61">
        <f t="shared" ref="K81:N81" si="218">J81</f>
        <v>7.37238560782114E-2</v>
      </c>
      <c r="L81" s="61">
        <f t="shared" si="218"/>
        <v>7.37238560782114E-2</v>
      </c>
      <c r="M81" s="61">
        <f t="shared" si="218"/>
        <v>7.37238560782114E-2</v>
      </c>
      <c r="N81" s="61">
        <f t="shared" si="218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9">K85+K89+K93</f>
        <v>7547</v>
      </c>
      <c r="L83">
        <f t="shared" si="219"/>
        <v>7547</v>
      </c>
      <c r="M83">
        <f t="shared" si="219"/>
        <v>7547</v>
      </c>
      <c r="N83">
        <f t="shared" si="219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0">D83/C83-1</f>
        <v>0.11941875825627468</v>
      </c>
      <c r="E84" s="61">
        <f t="shared" si="220"/>
        <v>0.21170639603493036</v>
      </c>
      <c r="F84" s="64">
        <f>F83/E83-1</f>
        <v>0.20919361121932223</v>
      </c>
      <c r="G84" s="64">
        <f t="shared" ref="G84:I84" si="221">G83/F83-1</f>
        <v>7.5869845360824639E-2</v>
      </c>
      <c r="H84" s="64">
        <f t="shared" si="221"/>
        <v>0.24120377301991325</v>
      </c>
      <c r="I84" s="64">
        <f t="shared" si="221"/>
        <v>-8.9626055488540413E-2</v>
      </c>
      <c r="J84" s="64">
        <f>J83/I83-1</f>
        <v>0</v>
      </c>
      <c r="K84" s="64">
        <f t="shared" ref="K84" si="222">K83/J83-1</f>
        <v>0</v>
      </c>
      <c r="L84" s="64">
        <f t="shared" ref="L84" si="223">L83/K83-1</f>
        <v>0</v>
      </c>
      <c r="M84" s="64">
        <f t="shared" ref="M84" si="224">M83/L83-1</f>
        <v>0</v>
      </c>
      <c r="N84" s="64">
        <f t="shared" ref="N84" si="225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6">J85*(1+K86)</f>
        <v>5416</v>
      </c>
      <c r="L85">
        <f t="shared" si="226"/>
        <v>5416</v>
      </c>
      <c r="M85">
        <f t="shared" si="226"/>
        <v>5416</v>
      </c>
      <c r="N85">
        <f t="shared" si="226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7">D85/C85-1</f>
        <v>0.12350904193920731</v>
      </c>
      <c r="E86" s="61">
        <f t="shared" si="227"/>
        <v>0.19726027397260282</v>
      </c>
      <c r="F86" s="64">
        <f>F85/E85-1</f>
        <v>0.21910755148741412</v>
      </c>
      <c r="G86" s="64">
        <f t="shared" ref="G86:I86" si="228">G85/F85-1</f>
        <v>8.7517597372125833E-2</v>
      </c>
      <c r="H86" s="64">
        <f t="shared" si="228"/>
        <v>0.24012944983818763</v>
      </c>
      <c r="I86" s="64">
        <f t="shared" si="228"/>
        <v>-5.7759220598469052E-2</v>
      </c>
      <c r="J86" s="73">
        <f>J87+J88</f>
        <v>0</v>
      </c>
      <c r="K86" s="73">
        <f t="shared" ref="K86" si="229">K87+K88</f>
        <v>0</v>
      </c>
      <c r="L86" s="73">
        <f t="shared" ref="L86" si="230">L87+L88</f>
        <v>0</v>
      </c>
      <c r="M86" s="73">
        <f t="shared" ref="M86" si="231">M87+M88</f>
        <v>0</v>
      </c>
      <c r="N86" s="73">
        <f t="shared" ref="N86" si="232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3">+J87</f>
        <v>0</v>
      </c>
      <c r="L87" s="56">
        <f t="shared" ref="L87:L88" si="234">+K87</f>
        <v>0</v>
      </c>
      <c r="M87" s="56">
        <f t="shared" ref="M87:M88" si="235">+L87</f>
        <v>0</v>
      </c>
      <c r="N87" s="56">
        <f t="shared" ref="N87:N88" si="236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7">D86-D87</f>
        <v>3.5090419392073136E-3</v>
      </c>
      <c r="E88" s="61">
        <f t="shared" si="237"/>
        <v>-2.7397260273971935E-3</v>
      </c>
      <c r="F88" s="64">
        <f>F86-F87</f>
        <v>-8.9244851258588054E-4</v>
      </c>
      <c r="G88" s="64">
        <f t="shared" ref="G88:H88" si="238">G86-G87</f>
        <v>-2.482402627874164E-3</v>
      </c>
      <c r="H88" s="64">
        <f t="shared" si="238"/>
        <v>1.2944983818763411E-4</v>
      </c>
      <c r="I88" s="64">
        <f>I86-I87</f>
        <v>4.2240779401530953E-2</v>
      </c>
      <c r="J88" s="56">
        <v>0</v>
      </c>
      <c r="K88" s="56">
        <f t="shared" si="233"/>
        <v>0</v>
      </c>
      <c r="L88" s="56">
        <f t="shared" si="234"/>
        <v>0</v>
      </c>
      <c r="M88" s="56">
        <f t="shared" si="235"/>
        <v>0</v>
      </c>
      <c r="N88" s="56">
        <f t="shared" si="236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9">J89*(1+K90)</f>
        <v>1938</v>
      </c>
      <c r="L89">
        <f t="shared" si="239"/>
        <v>1938</v>
      </c>
      <c r="M89">
        <f t="shared" si="239"/>
        <v>1938</v>
      </c>
      <c r="N89">
        <f t="shared" si="239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0">G89/F89-1</f>
        <v>4.8672566371681381E-2</v>
      </c>
      <c r="H90" s="64">
        <f t="shared" si="240"/>
        <v>0.2378691983122363</v>
      </c>
      <c r="I90" s="64">
        <f t="shared" si="240"/>
        <v>-0.17426501917341286</v>
      </c>
      <c r="J90" s="73">
        <f>J91+J92</f>
        <v>0</v>
      </c>
      <c r="K90" s="73">
        <f t="shared" ref="K90" si="241">K91+K92</f>
        <v>0</v>
      </c>
      <c r="L90" s="73">
        <f t="shared" ref="L90" si="242">L91+L92</f>
        <v>0</v>
      </c>
      <c r="M90" s="73">
        <f t="shared" ref="M90" si="243">M91+M92</f>
        <v>0</v>
      </c>
      <c r="N90" s="73">
        <f t="shared" ref="N90" si="244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5">G90-G91</f>
        <v>-1.3274336283186222E-3</v>
      </c>
      <c r="H92" s="65">
        <f t="shared" si="245"/>
        <v>-2.1308016877636948E-3</v>
      </c>
      <c r="I92" s="65">
        <f t="shared" si="245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6">J93*(1+K94)</f>
        <v>193</v>
      </c>
      <c r="L93">
        <f t="shared" si="246"/>
        <v>193</v>
      </c>
      <c r="M93">
        <f t="shared" si="246"/>
        <v>193</v>
      </c>
      <c r="N93">
        <f t="shared" si="246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7">G93/F93-1</f>
        <v>7.2463768115942129E-2</v>
      </c>
      <c r="H94" s="64">
        <f t="shared" si="247"/>
        <v>0.31756756756756754</v>
      </c>
      <c r="I94" s="64">
        <f t="shared" si="247"/>
        <v>-1.025641025641022E-2</v>
      </c>
      <c r="J94" s="73">
        <f>J95+J96</f>
        <v>0</v>
      </c>
      <c r="K94" s="73">
        <f t="shared" ref="K94" si="248">K95+K96</f>
        <v>0</v>
      </c>
      <c r="L94" s="73">
        <f t="shared" ref="L94" si="249">L95+L96</f>
        <v>0</v>
      </c>
      <c r="M94" s="73">
        <f t="shared" ref="M94" si="250">M95+M96</f>
        <v>0</v>
      </c>
      <c r="N94" s="73">
        <f t="shared" ref="N94" si="251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2">D94-D95</f>
        <v>4.732824427480891E-3</v>
      </c>
      <c r="E96" s="61">
        <f t="shared" si="252"/>
        <v>-2.2480620155038624E-3</v>
      </c>
      <c r="F96" s="64">
        <f>F94-F95</f>
        <v>1.5384615384615441E-3</v>
      </c>
      <c r="G96" s="64">
        <f t="shared" ref="G96:I96" si="253">G94-G95</f>
        <v>2.4637681159421221E-3</v>
      </c>
      <c r="H96" s="64">
        <f t="shared" si="253"/>
        <v>-2.4324324324324631E-3</v>
      </c>
      <c r="I96" s="64">
        <f t="shared" si="253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4">C100+C104</f>
        <v>1420</v>
      </c>
      <c r="D97" s="66">
        <f t="shared" si="254"/>
        <v>1561</v>
      </c>
      <c r="E97" s="66">
        <f t="shared" si="254"/>
        <v>1863</v>
      </c>
      <c r="F97" s="66">
        <f t="shared" si="254"/>
        <v>2426</v>
      </c>
      <c r="G97" s="66">
        <f t="shared" si="254"/>
        <v>2534</v>
      </c>
      <c r="H97" s="66">
        <f t="shared" si="254"/>
        <v>3286</v>
      </c>
      <c r="I97" s="66">
        <f t="shared" si="254"/>
        <v>2407</v>
      </c>
      <c r="J97" s="52">
        <f>+J83*J99</f>
        <v>2407</v>
      </c>
      <c r="K97" s="52">
        <f t="shared" ref="K97:N97" si="255">+K83*K99</f>
        <v>2407</v>
      </c>
      <c r="L97" s="52">
        <f t="shared" si="255"/>
        <v>2407</v>
      </c>
      <c r="M97" s="52">
        <f t="shared" si="255"/>
        <v>2407</v>
      </c>
      <c r="N97" s="52">
        <f t="shared" si="255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6">D97/C97-1</f>
        <v>9.9295774647887303E-2</v>
      </c>
      <c r="E98" s="61">
        <f t="shared" si="256"/>
        <v>0.19346572709801402</v>
      </c>
      <c r="F98" s="61">
        <f t="shared" si="256"/>
        <v>0.3022007514761138</v>
      </c>
      <c r="G98" s="61">
        <f t="shared" si="256"/>
        <v>4.4517724649629109E-2</v>
      </c>
      <c r="H98" s="61">
        <f t="shared" si="256"/>
        <v>0.29676400947119186</v>
      </c>
      <c r="I98" s="61">
        <f t="shared" si="256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7">C97/C83</f>
        <v>0.37516512549537651</v>
      </c>
      <c r="D99" s="61">
        <f t="shared" si="257"/>
        <v>0.36842105263157893</v>
      </c>
      <c r="E99" s="61">
        <f t="shared" si="257"/>
        <v>0.36287495130502534</v>
      </c>
      <c r="F99" s="61">
        <f t="shared" si="257"/>
        <v>0.3907860824742268</v>
      </c>
      <c r="G99" s="61">
        <f t="shared" si="257"/>
        <v>0.37939811349004343</v>
      </c>
      <c r="H99" s="61">
        <f t="shared" si="257"/>
        <v>0.39638118214716528</v>
      </c>
      <c r="I99" s="61">
        <f t="shared" si="257"/>
        <v>0.3189346760302107</v>
      </c>
      <c r="J99" s="62">
        <f>I99</f>
        <v>0.3189346760302107</v>
      </c>
      <c r="K99" s="62">
        <f t="shared" ref="K99:N99" si="258">J99</f>
        <v>0.3189346760302107</v>
      </c>
      <c r="L99" s="62">
        <f t="shared" si="258"/>
        <v>0.3189346760302107</v>
      </c>
      <c r="M99" s="62">
        <f t="shared" si="258"/>
        <v>0.3189346760302107</v>
      </c>
      <c r="N99" s="62">
        <f t="shared" si="258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9">+K103*K110</f>
        <v>42.000000000000007</v>
      </c>
      <c r="L100" s="52">
        <f t="shared" si="259"/>
        <v>42.000000000000007</v>
      </c>
      <c r="M100" s="52">
        <f t="shared" si="259"/>
        <v>42.000000000000007</v>
      </c>
      <c r="N100" s="52">
        <f t="shared" si="259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0">D100/C100-1</f>
        <v>0.125</v>
      </c>
      <c r="E101" s="61">
        <f t="shared" si="260"/>
        <v>3.7037037037036979E-2</v>
      </c>
      <c r="F101" s="61">
        <f t="shared" si="260"/>
        <v>-0.1071428571428571</v>
      </c>
      <c r="G101" s="61">
        <f t="shared" si="260"/>
        <v>-0.12</v>
      </c>
      <c r="H101" s="61">
        <f t="shared" si="260"/>
        <v>-2.2727272727272707E-2</v>
      </c>
      <c r="I101" s="61">
        <f t="shared" si="260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61">C100/C83</f>
        <v>1.2681638044914135E-2</v>
      </c>
      <c r="D102" s="61">
        <f t="shared" si="261"/>
        <v>1.2744866650932263E-2</v>
      </c>
      <c r="E102" s="61">
        <f t="shared" si="261"/>
        <v>1.090767432800935E-2</v>
      </c>
      <c r="F102" s="61">
        <f t="shared" si="261"/>
        <v>8.0541237113402053E-3</v>
      </c>
      <c r="G102" s="61">
        <f t="shared" si="261"/>
        <v>6.5878125467884411E-3</v>
      </c>
      <c r="H102" s="61">
        <f t="shared" si="261"/>
        <v>5.1869722557297947E-3</v>
      </c>
      <c r="I102" s="61">
        <f t="shared" si="261"/>
        <v>5.5651252153173444E-3</v>
      </c>
      <c r="J102" s="61">
        <f>I102</f>
        <v>5.5651252153173444E-3</v>
      </c>
      <c r="K102" s="61">
        <f t="shared" ref="K102:N102" si="262">J102</f>
        <v>5.5651252153173444E-3</v>
      </c>
      <c r="L102" s="61">
        <f t="shared" si="262"/>
        <v>5.5651252153173444E-3</v>
      </c>
      <c r="M102" s="61">
        <f t="shared" si="262"/>
        <v>5.5651252153173444E-3</v>
      </c>
      <c r="N102" s="61">
        <f t="shared" si="262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3">C100/C110</f>
        <v>0.20512820512820512</v>
      </c>
      <c r="D103" s="61">
        <f t="shared" si="263"/>
        <v>0.24</v>
      </c>
      <c r="E103" s="61">
        <f t="shared" si="263"/>
        <v>0.21875</v>
      </c>
      <c r="F103" s="61">
        <f t="shared" si="263"/>
        <v>0.2109704641350211</v>
      </c>
      <c r="G103" s="61">
        <f t="shared" si="263"/>
        <v>0.20560747663551401</v>
      </c>
      <c r="H103" s="61">
        <f t="shared" si="263"/>
        <v>0.14930555555555555</v>
      </c>
      <c r="I103" s="61">
        <f t="shared" si="263"/>
        <v>0.13861386138613863</v>
      </c>
      <c r="J103" s="61">
        <f>I103</f>
        <v>0.13861386138613863</v>
      </c>
      <c r="K103" s="61">
        <f t="shared" ref="K103:N103" si="264">J103</f>
        <v>0.13861386138613863</v>
      </c>
      <c r="L103" s="61">
        <f t="shared" si="264"/>
        <v>0.13861386138613863</v>
      </c>
      <c r="M103" s="61">
        <f t="shared" si="264"/>
        <v>0.13861386138613863</v>
      </c>
      <c r="N103" s="61">
        <f t="shared" si="264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5">K97-K100</f>
        <v>2365</v>
      </c>
      <c r="L104" s="66">
        <f t="shared" si="265"/>
        <v>2365</v>
      </c>
      <c r="M104" s="66">
        <f t="shared" si="265"/>
        <v>2365</v>
      </c>
      <c r="N104" s="66">
        <f t="shared" si="265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6">D104/C104-1</f>
        <v>9.8396501457725938E-2</v>
      </c>
      <c r="E105" s="61">
        <f t="shared" si="266"/>
        <v>0.19907100199071004</v>
      </c>
      <c r="F105" s="61">
        <f t="shared" si="266"/>
        <v>0.31488655229662421</v>
      </c>
      <c r="G105" s="61">
        <f t="shared" si="266"/>
        <v>4.7979797979798011E-2</v>
      </c>
      <c r="H105" s="61">
        <f t="shared" si="266"/>
        <v>0.30240963855421676</v>
      </c>
      <c r="I105" s="61">
        <f t="shared" si="266"/>
        <v>-0.27073697193956214</v>
      </c>
      <c r="J105" s="51">
        <f t="shared" ref="J105" si="267">+IFERROR(J104/I104-1,"nm")</f>
        <v>0</v>
      </c>
      <c r="K105" s="51">
        <f t="shared" ref="K105" si="268">+IFERROR(K104/J104-1,"nm")</f>
        <v>0</v>
      </c>
      <c r="L105" s="51">
        <f t="shared" ref="L105" si="269">+IFERROR(L104/K104-1,"nm")</f>
        <v>0</v>
      </c>
      <c r="M105" s="51">
        <f t="shared" ref="M105" si="270">+IFERROR(M104/L104-1,"nm")</f>
        <v>0</v>
      </c>
      <c r="N105" s="51">
        <f t="shared" ref="N105" si="271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2">C104/C83</f>
        <v>0.36248348745046233</v>
      </c>
      <c r="D106" s="61">
        <f t="shared" si="272"/>
        <v>0.35567618598064671</v>
      </c>
      <c r="E106" s="61">
        <f t="shared" si="272"/>
        <v>0.35196727697701596</v>
      </c>
      <c r="F106" s="61">
        <f t="shared" si="272"/>
        <v>0.38273195876288657</v>
      </c>
      <c r="G106" s="61">
        <f t="shared" si="272"/>
        <v>0.37281030094325496</v>
      </c>
      <c r="H106" s="61">
        <f t="shared" si="272"/>
        <v>0.39119420989143544</v>
      </c>
      <c r="I106" s="61">
        <f t="shared" si="272"/>
        <v>0.31336955081489332</v>
      </c>
      <c r="J106" s="61">
        <f>I106</f>
        <v>0.31336955081489332</v>
      </c>
      <c r="K106" s="61">
        <f t="shared" ref="K106:N106" si="273">J106</f>
        <v>0.31336955081489332</v>
      </c>
      <c r="L106" s="61">
        <f t="shared" si="273"/>
        <v>0.31336955081489332</v>
      </c>
      <c r="M106" s="61">
        <f t="shared" si="273"/>
        <v>0.31336955081489332</v>
      </c>
      <c r="N106" s="61">
        <f t="shared" si="273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4">K83*K109</f>
        <v>78</v>
      </c>
      <c r="L107">
        <f t="shared" si="274"/>
        <v>78</v>
      </c>
      <c r="M107">
        <f t="shared" si="274"/>
        <v>78</v>
      </c>
      <c r="N107">
        <f t="shared" si="274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5">G107/F107-1</f>
        <v>-0.4285714285714286</v>
      </c>
      <c r="H108" s="61">
        <f t="shared" si="275"/>
        <v>2.3571428571428572</v>
      </c>
      <c r="I108" s="61">
        <f t="shared" si="275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6">F107/F83</f>
        <v>7.8930412371134018E-3</v>
      </c>
      <c r="G109" s="61">
        <f t="shared" si="276"/>
        <v>4.1922443479562805E-3</v>
      </c>
      <c r="H109" s="61">
        <f t="shared" si="276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7">J109</f>
        <v>1.0335232542732211E-2</v>
      </c>
      <c r="L109" s="61">
        <f t="shared" si="277"/>
        <v>1.0335232542732211E-2</v>
      </c>
      <c r="M109" s="61">
        <f t="shared" si="277"/>
        <v>1.0335232542732211E-2</v>
      </c>
      <c r="N109" s="61">
        <f t="shared" si="277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8">K83*K112</f>
        <v>303</v>
      </c>
      <c r="L110">
        <f t="shared" si="278"/>
        <v>303</v>
      </c>
      <c r="M110">
        <f t="shared" si="278"/>
        <v>303</v>
      </c>
      <c r="N110">
        <f t="shared" si="278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9">D110/C110-1</f>
        <v>-3.8461538461538436E-2</v>
      </c>
      <c r="E111" s="61">
        <f t="shared" si="279"/>
        <v>0.13777777777777778</v>
      </c>
      <c r="F111" s="61">
        <f t="shared" si="279"/>
        <v>-7.421875E-2</v>
      </c>
      <c r="G111" s="61">
        <f t="shared" si="279"/>
        <v>-9.7046413502109741E-2</v>
      </c>
      <c r="H111" s="61">
        <f t="shared" si="279"/>
        <v>0.34579439252336441</v>
      </c>
      <c r="I111" s="61">
        <f t="shared" si="279"/>
        <v>5.2083333333333259E-2</v>
      </c>
      <c r="J111" s="51">
        <f>J110/I110-1</f>
        <v>0</v>
      </c>
      <c r="K111" s="51">
        <f t="shared" ref="K111" si="280">K110/J110-1</f>
        <v>0</v>
      </c>
      <c r="L111" s="51">
        <f t="shared" ref="L111" si="281">L110/K110-1</f>
        <v>0</v>
      </c>
      <c r="M111" s="51">
        <f t="shared" ref="M111" si="282">M110/L110-1</f>
        <v>0</v>
      </c>
      <c r="N111" s="51">
        <f t="shared" ref="N111" si="283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4">C110/C83</f>
        <v>6.1822985468956405E-2</v>
      </c>
      <c r="D112" s="61">
        <f t="shared" si="284"/>
        <v>5.31036110455511E-2</v>
      </c>
      <c r="E112" s="61">
        <f t="shared" si="284"/>
        <v>4.9863654070899883E-2</v>
      </c>
      <c r="F112" s="61">
        <f t="shared" si="284"/>
        <v>3.817654639175258E-2</v>
      </c>
      <c r="G112" s="61">
        <f t="shared" si="284"/>
        <v>3.2040724659380147E-2</v>
      </c>
      <c r="H112" s="61">
        <f t="shared" si="284"/>
        <v>3.4740651387213509E-2</v>
      </c>
      <c r="I112" s="61">
        <f t="shared" si="284"/>
        <v>4.0148403339075128E-2</v>
      </c>
      <c r="J112" s="61">
        <f>I112</f>
        <v>4.0148403339075128E-2</v>
      </c>
      <c r="K112" s="61">
        <f t="shared" ref="K112:N112" si="285">J112</f>
        <v>4.0148403339075128E-2</v>
      </c>
      <c r="L112" s="61">
        <f t="shared" si="285"/>
        <v>4.0148403339075128E-2</v>
      </c>
      <c r="M112" s="61">
        <f t="shared" si="285"/>
        <v>4.0148403339075128E-2</v>
      </c>
      <c r="N112" s="61">
        <f t="shared" si="285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6">J116+J120+J124</f>
        <v>5955</v>
      </c>
      <c r="L114">
        <f t="shared" si="286"/>
        <v>5955</v>
      </c>
      <c r="M114">
        <f t="shared" si="286"/>
        <v>5955</v>
      </c>
      <c r="N114">
        <f t="shared" si="286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7">G114/F114-1</f>
        <v>-4.3014845831747195E-2</v>
      </c>
      <c r="H115" s="61">
        <f t="shared" si="287"/>
        <v>6.2649164677804237E-2</v>
      </c>
      <c r="I115" s="61">
        <f t="shared" si="287"/>
        <v>0.11454239191465465</v>
      </c>
      <c r="J115" s="64">
        <f>J114/I114-1</f>
        <v>0</v>
      </c>
      <c r="K115" s="64">
        <f t="shared" ref="K115" si="288">K114/J114-1</f>
        <v>0</v>
      </c>
      <c r="L115" s="64">
        <f t="shared" ref="L115" si="289">L114/K114-1</f>
        <v>0</v>
      </c>
      <c r="M115" s="64">
        <f t="shared" ref="M115" si="290">M114/L114-1</f>
        <v>0</v>
      </c>
      <c r="N115" s="64">
        <f t="shared" ref="N115" si="291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2">J116*(1+K117)</f>
        <v>4111</v>
      </c>
      <c r="L116">
        <f t="shared" si="292"/>
        <v>4111</v>
      </c>
      <c r="M116">
        <f t="shared" si="292"/>
        <v>4111</v>
      </c>
      <c r="N116">
        <f t="shared" si="292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3">G116/F116-1</f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73">
        <f>J118+J119</f>
        <v>0</v>
      </c>
      <c r="K117" s="73">
        <f t="shared" ref="K117" si="294">K118+K119</f>
        <v>0</v>
      </c>
      <c r="L117" s="73">
        <f t="shared" ref="L117" si="295">L118+L119</f>
        <v>0</v>
      </c>
      <c r="M117" s="73">
        <f t="shared" ref="M117" si="296">M118+M119</f>
        <v>0</v>
      </c>
      <c r="N117" s="73">
        <f t="shared" ref="N117" si="297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8">+J118</f>
        <v>0</v>
      </c>
      <c r="L118" s="56">
        <f t="shared" ref="L118:L119" si="299">+K118</f>
        <v>0</v>
      </c>
      <c r="M118" s="56">
        <f t="shared" ref="M118:M119" si="300">+L118</f>
        <v>0</v>
      </c>
      <c r="N118" s="56">
        <f t="shared" ref="N118:N119" si="301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2">G117-G118</f>
        <v>2.2363335173936766E-3</v>
      </c>
      <c r="H119" s="61">
        <f t="shared" si="302"/>
        <v>8.8721368512617582E-4</v>
      </c>
      <c r="I119" s="61">
        <f t="shared" si="302"/>
        <v>-4.646898059579127E-2</v>
      </c>
      <c r="J119" s="56">
        <v>0</v>
      </c>
      <c r="K119" s="56">
        <f t="shared" si="298"/>
        <v>0</v>
      </c>
      <c r="L119" s="56">
        <f t="shared" si="299"/>
        <v>0</v>
      </c>
      <c r="M119" s="56">
        <f t="shared" si="300"/>
        <v>0</v>
      </c>
      <c r="N119" s="56">
        <f t="shared" si="301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3">J120*(1+K121)</f>
        <v>1610</v>
      </c>
      <c r="L120">
        <f t="shared" si="303"/>
        <v>1610</v>
      </c>
      <c r="M120">
        <f t="shared" si="303"/>
        <v>1610</v>
      </c>
      <c r="N120">
        <f t="shared" si="303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4">G120/F120-1</f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73">
        <f>J122+J123</f>
        <v>0</v>
      </c>
      <c r="K121" s="73">
        <f t="shared" ref="K121" si="305">K122+K123</f>
        <v>0</v>
      </c>
      <c r="L121" s="73">
        <f t="shared" ref="L121" si="306">L122+L123</f>
        <v>0</v>
      </c>
      <c r="M121" s="73">
        <f t="shared" ref="M121" si="307">M122+M123</f>
        <v>0</v>
      </c>
      <c r="N121" s="73">
        <f t="shared" ref="N121" si="308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9">G121-G122</f>
        <v>-1.505376344086002E-3</v>
      </c>
      <c r="H123" s="61">
        <f t="shared" si="309"/>
        <v>4.5054945054946172E-3</v>
      </c>
      <c r="I123" s="61">
        <f t="shared" si="309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10">J124*(1+K125)</f>
        <v>234</v>
      </c>
      <c r="L124">
        <f t="shared" si="310"/>
        <v>234</v>
      </c>
      <c r="M124">
        <f t="shared" si="310"/>
        <v>234</v>
      </c>
      <c r="N124">
        <f t="shared" si="310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1">G124/F124-1</f>
        <v>-9.7046413502109741E-2</v>
      </c>
      <c r="H125" s="61">
        <f t="shared" si="311"/>
        <v>-0.11214953271028039</v>
      </c>
      <c r="I125" s="61">
        <f t="shared" si="311"/>
        <v>0.23157894736842111</v>
      </c>
      <c r="J125" s="73">
        <f>J126+J127</f>
        <v>0</v>
      </c>
      <c r="K125" s="73">
        <f t="shared" ref="K125" si="312">K126+K127</f>
        <v>0</v>
      </c>
      <c r="L125" s="73">
        <f t="shared" ref="L125" si="313">L126+L127</f>
        <v>0</v>
      </c>
      <c r="M125" s="73">
        <f t="shared" ref="M125" si="314">M126+M127</f>
        <v>0</v>
      </c>
      <c r="N125" s="73">
        <f t="shared" ref="N125" si="315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6">G125-G126</f>
        <v>2.9535864978902648E-3</v>
      </c>
      <c r="H127" s="61">
        <f t="shared" si="316"/>
        <v>-2.1495327102803857E-3</v>
      </c>
      <c r="I127" s="61">
        <f t="shared" si="316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1244</v>
      </c>
      <c r="F128">
        <f t="shared" ref="F128:I128" si="317">F131+F135</f>
        <v>1376</v>
      </c>
      <c r="G128">
        <f t="shared" si="317"/>
        <v>1230</v>
      </c>
      <c r="H128">
        <f t="shared" si="317"/>
        <v>1752</v>
      </c>
      <c r="I128">
        <f t="shared" si="317"/>
        <v>2116</v>
      </c>
      <c r="J128" s="52">
        <f>J114*J130</f>
        <v>2116</v>
      </c>
      <c r="K128" s="52">
        <f t="shared" ref="K128:N128" si="318">K114*K130</f>
        <v>2116</v>
      </c>
      <c r="L128" s="52">
        <f t="shared" si="318"/>
        <v>2116</v>
      </c>
      <c r="M128" s="52">
        <f t="shared" si="318"/>
        <v>2116</v>
      </c>
      <c r="N128" s="52">
        <f t="shared" si="318"/>
        <v>2116</v>
      </c>
    </row>
    <row r="129" spans="1:14" x14ac:dyDescent="0.2">
      <c r="A129" s="50" t="s">
        <v>129</v>
      </c>
      <c r="E129" t="s">
        <v>158</v>
      </c>
      <c r="F129" s="61">
        <f>F128/E128-1</f>
        <v>0.10610932475884249</v>
      </c>
      <c r="G129" s="61">
        <f>G128/F128-1</f>
        <v>-0.10610465116279066</v>
      </c>
      <c r="H129" s="61">
        <f t="shared" ref="H129:I129" si="319">H128/G128-1</f>
        <v>0.42439024390243896</v>
      </c>
      <c r="I129" s="61">
        <f t="shared" si="319"/>
        <v>0.20776255707762559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0.2408052651955091</v>
      </c>
      <c r="F130" s="61">
        <f t="shared" ref="F130:I130" si="320">F128/F114</f>
        <v>0.26189569851541683</v>
      </c>
      <c r="G130" s="61">
        <f t="shared" si="320"/>
        <v>0.24463007159904535</v>
      </c>
      <c r="H130" s="61">
        <f t="shared" si="320"/>
        <v>0.32790567097136442</v>
      </c>
      <c r="I130" s="61">
        <f t="shared" si="320"/>
        <v>0.35533165407220824</v>
      </c>
      <c r="J130" s="62">
        <f>I130</f>
        <v>0.35533165407220824</v>
      </c>
      <c r="K130" s="62">
        <f t="shared" ref="K130:N130" si="321">J130</f>
        <v>0.35533165407220824</v>
      </c>
      <c r="L130" s="62">
        <f t="shared" si="321"/>
        <v>0.35533165407220824</v>
      </c>
      <c r="M130" s="62">
        <f t="shared" si="321"/>
        <v>0.35533165407220824</v>
      </c>
      <c r="N130" s="62">
        <f t="shared" si="321"/>
        <v>0.35533165407220824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52">
        <f>J134*J141</f>
        <v>220</v>
      </c>
      <c r="K131" s="52">
        <f t="shared" ref="K131:N131" si="322">K134*K141</f>
        <v>220</v>
      </c>
      <c r="L131" s="52">
        <f t="shared" si="322"/>
        <v>220</v>
      </c>
      <c r="M131" s="52">
        <f t="shared" si="322"/>
        <v>220</v>
      </c>
      <c r="N131" s="52">
        <f t="shared" si="322"/>
        <v>220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H132" s="61">
        <f t="shared" ref="H132:I132" si="323">H131/G131-1</f>
        <v>3.8260869565217392</v>
      </c>
      <c r="I132" s="61">
        <f t="shared" si="323"/>
        <v>-9.009009009009028E-3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I133" si="324">F131/F114</f>
        <v>1.0087552341073468E-2</v>
      </c>
      <c r="G133" s="61">
        <f t="shared" si="324"/>
        <v>9.148766905330152E-3</v>
      </c>
      <c r="H133" s="61">
        <f t="shared" si="324"/>
        <v>4.1549691184727684E-2</v>
      </c>
      <c r="I133" s="61">
        <f t="shared" si="324"/>
        <v>3.6943744752308987E-2</v>
      </c>
      <c r="J133" s="61">
        <f>I133</f>
        <v>3.6943744752308987E-2</v>
      </c>
      <c r="K133" s="61">
        <f t="shared" ref="K133:N134" si="325">J133</f>
        <v>3.6943744752308987E-2</v>
      </c>
      <c r="L133" s="61">
        <f t="shared" si="325"/>
        <v>3.6943744752308987E-2</v>
      </c>
      <c r="M133" s="61">
        <f t="shared" si="325"/>
        <v>3.6943744752308987E-2</v>
      </c>
      <c r="N133" s="61">
        <f t="shared" si="325"/>
        <v>3.6943744752308987E-2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I134" si="326">F131/F141</f>
        <v>0.16257668711656442</v>
      </c>
      <c r="G134" s="61">
        <f t="shared" si="326"/>
        <v>0.1554054054054054</v>
      </c>
      <c r="H134" s="61">
        <f t="shared" si="326"/>
        <v>0.73026315789473684</v>
      </c>
      <c r="I134" s="61">
        <f t="shared" si="326"/>
        <v>0.8029197080291971</v>
      </c>
      <c r="J134" s="61">
        <f>I134</f>
        <v>0.8029197080291971</v>
      </c>
      <c r="K134" s="61">
        <f t="shared" si="325"/>
        <v>0.8029197080291971</v>
      </c>
      <c r="L134" s="61">
        <f t="shared" si="325"/>
        <v>0.8029197080291971</v>
      </c>
      <c r="M134" s="61">
        <f t="shared" si="325"/>
        <v>0.8029197080291971</v>
      </c>
      <c r="N134" s="61">
        <f t="shared" si="325"/>
        <v>0.8029197080291971</v>
      </c>
    </row>
    <row r="135" spans="1:14" x14ac:dyDescent="0.2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66">
        <f>J128-J131</f>
        <v>1896</v>
      </c>
      <c r="K135" s="66">
        <f t="shared" ref="K135:N135" si="327">K128-K131</f>
        <v>1896</v>
      </c>
      <c r="L135" s="66">
        <f t="shared" si="327"/>
        <v>1896</v>
      </c>
      <c r="M135" s="66">
        <f t="shared" si="327"/>
        <v>1896</v>
      </c>
      <c r="N135" s="66">
        <f t="shared" si="327"/>
        <v>1896</v>
      </c>
    </row>
    <row r="136" spans="1:14" x14ac:dyDescent="0.2">
      <c r="A136" s="50" t="s">
        <v>129</v>
      </c>
      <c r="E136" t="s">
        <v>158</v>
      </c>
      <c r="F136" s="61">
        <f>F135/E135-1</f>
        <v>0.11269974768713209</v>
      </c>
      <c r="G136" s="61">
        <f>G135/F135-1</f>
        <v>-0.1050642479213908</v>
      </c>
      <c r="H136" s="61">
        <f t="shared" ref="H136:I136" si="328">H135/G135-1</f>
        <v>0.29222972972972983</v>
      </c>
      <c r="I136" s="61">
        <f t="shared" si="328"/>
        <v>0.23921568627450984</v>
      </c>
      <c r="J136" s="61">
        <f t="shared" ref="J136" si="329">J135/I135-1</f>
        <v>0</v>
      </c>
      <c r="K136" s="61">
        <f t="shared" ref="K136" si="330">K135/J135-1</f>
        <v>0</v>
      </c>
      <c r="L136" s="61">
        <f t="shared" ref="L136" si="331">L135/K135-1</f>
        <v>0</v>
      </c>
      <c r="M136" s="61">
        <f t="shared" ref="M136" si="332">M135/L135-1</f>
        <v>0</v>
      </c>
      <c r="N136" s="61">
        <f t="shared" ref="N136" si="333">N135/M135-1</f>
        <v>0</v>
      </c>
    </row>
    <row r="137" spans="1:14" x14ac:dyDescent="0.2">
      <c r="A137" s="50" t="s">
        <v>131</v>
      </c>
      <c r="E137" s="61">
        <f>E135/E114</f>
        <v>0.23015873015873015</v>
      </c>
      <c r="F137" s="61">
        <f t="shared" ref="F137:I137" si="334">F135/F114</f>
        <v>0.25180814617434338</v>
      </c>
      <c r="G137" s="61">
        <f t="shared" si="334"/>
        <v>0.2354813046937152</v>
      </c>
      <c r="H137" s="61">
        <f t="shared" si="334"/>
        <v>0.28635597978663674</v>
      </c>
      <c r="I137" s="61">
        <f t="shared" si="334"/>
        <v>0.31838790931989924</v>
      </c>
      <c r="J137" s="61">
        <f>I137</f>
        <v>0.31838790931989924</v>
      </c>
      <c r="K137" s="61">
        <f t="shared" ref="K137:N137" si="335">J137</f>
        <v>0.31838790931989924</v>
      </c>
      <c r="L137" s="61">
        <f t="shared" si="335"/>
        <v>0.31838790931989924</v>
      </c>
      <c r="M137" s="61">
        <f t="shared" si="335"/>
        <v>0.31838790931989924</v>
      </c>
      <c r="N137" s="61">
        <f t="shared" si="335"/>
        <v>0.31838790931989924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6">K114*K140</f>
        <v>56</v>
      </c>
      <c r="L138">
        <f t="shared" si="336"/>
        <v>56</v>
      </c>
      <c r="M138">
        <f t="shared" si="336"/>
        <v>56</v>
      </c>
      <c r="N138">
        <f t="shared" si="336"/>
        <v>56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H139" s="61">
        <f t="shared" ref="H139:I139" si="337">H138/G138-1</f>
        <v>0.31707317073170738</v>
      </c>
      <c r="I139" s="61">
        <f t="shared" si="337"/>
        <v>3.7037037037036979E-2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I140" si="338">F138/F114</f>
        <v>8.9455652835934533E-3</v>
      </c>
      <c r="G140" s="61">
        <f t="shared" si="338"/>
        <v>8.1543357199681775E-3</v>
      </c>
      <c r="H140" s="61">
        <f t="shared" si="338"/>
        <v>1.0106681639528355E-2</v>
      </c>
      <c r="I140" s="61">
        <f t="shared" si="338"/>
        <v>9.4038623005877411E-3</v>
      </c>
      <c r="J140" s="61">
        <f>I140</f>
        <v>9.4038623005877411E-3</v>
      </c>
      <c r="K140" s="61">
        <f t="shared" ref="K140:N140" si="339">J140</f>
        <v>9.4038623005877411E-3</v>
      </c>
      <c r="L140" s="61">
        <f t="shared" si="339"/>
        <v>9.4038623005877411E-3</v>
      </c>
      <c r="M140" s="61">
        <f t="shared" si="339"/>
        <v>9.4038623005877411E-3</v>
      </c>
      <c r="N140" s="61">
        <f t="shared" si="339"/>
        <v>9.4038623005877411E-3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40">K114*K143</f>
        <v>274</v>
      </c>
      <c r="L141">
        <f t="shared" si="340"/>
        <v>274</v>
      </c>
      <c r="M141">
        <f t="shared" si="340"/>
        <v>274</v>
      </c>
      <c r="N141">
        <f t="shared" si="340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41">G141/F141-1</f>
        <v>-9.2024539877300637E-2</v>
      </c>
      <c r="H142" s="61">
        <f t="shared" si="341"/>
        <v>2.7027027027026973E-2</v>
      </c>
      <c r="I142" s="61">
        <f t="shared" si="341"/>
        <v>-9.8684210526315819E-2</v>
      </c>
      <c r="J142" s="51">
        <f>J141/I141-1</f>
        <v>0</v>
      </c>
      <c r="K142" s="51">
        <f t="shared" ref="K142" si="342">K141/J141-1</f>
        <v>0</v>
      </c>
      <c r="L142" s="51">
        <f t="shared" ref="L142" si="343">L141/K141-1</f>
        <v>0</v>
      </c>
      <c r="M142" s="51">
        <f t="shared" ref="M142" si="344">M141/L141-1</f>
        <v>0</v>
      </c>
      <c r="N142" s="51">
        <f t="shared" ref="N142" si="345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6">F141/F114</f>
        <v>6.2047963456414161E-2</v>
      </c>
      <c r="G143" s="61">
        <f t="shared" si="346"/>
        <v>5.88703261734288E-2</v>
      </c>
      <c r="H143" s="61">
        <f t="shared" si="346"/>
        <v>5.6896874415122589E-2</v>
      </c>
      <c r="I143" s="61">
        <f t="shared" si="346"/>
        <v>4.6011754827875735E-2</v>
      </c>
      <c r="J143" s="61">
        <f>I143</f>
        <v>4.6011754827875735E-2</v>
      </c>
      <c r="K143" s="61">
        <f t="shared" ref="K143:N143" si="347">J143</f>
        <v>4.6011754827875735E-2</v>
      </c>
      <c r="L143" s="61">
        <f t="shared" si="347"/>
        <v>4.6011754827875735E-2</v>
      </c>
      <c r="M143" s="61">
        <f t="shared" si="347"/>
        <v>4.6011754827875735E-2</v>
      </c>
      <c r="N143" s="61">
        <f t="shared" si="347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8">J147+J151+J155</f>
        <v>0</v>
      </c>
      <c r="L145">
        <f t="shared" si="348"/>
        <v>0</v>
      </c>
      <c r="M145">
        <f t="shared" si="348"/>
        <v>0</v>
      </c>
      <c r="N145">
        <f t="shared" si="348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9">K145/J145-1</f>
        <v>#DIV/0!</v>
      </c>
      <c r="L146" s="64" t="e">
        <f t="shared" ref="L146" si="350">L145/K145-1</f>
        <v>#DIV/0!</v>
      </c>
      <c r="M146" s="64" t="e">
        <f t="shared" ref="M146" si="351">M145/L145-1</f>
        <v>#DIV/0!</v>
      </c>
      <c r="N146" s="64" t="e">
        <f t="shared" ref="N146" si="352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3">J147</f>
        <v>0</v>
      </c>
      <c r="L147">
        <f t="shared" si="353"/>
        <v>0</v>
      </c>
      <c r="M147">
        <f t="shared" si="353"/>
        <v>0</v>
      </c>
      <c r="N147">
        <f t="shared" si="353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4">K149+K150</f>
        <v>0</v>
      </c>
      <c r="L148" s="73">
        <f t="shared" ref="L148" si="355">L149+L150</f>
        <v>0</v>
      </c>
      <c r="M148" s="73">
        <f t="shared" ref="M148" si="356">M149+M150</f>
        <v>0</v>
      </c>
      <c r="N148" s="73">
        <f t="shared" ref="N148" si="357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8">+J149</f>
        <v>0</v>
      </c>
      <c r="L149" s="56">
        <f t="shared" ref="L149:L150" si="359">+K149</f>
        <v>0</v>
      </c>
      <c r="M149" s="56">
        <f t="shared" ref="M149:M150" si="360">+L149</f>
        <v>0</v>
      </c>
      <c r="N149" s="56">
        <f t="shared" ref="N149:N150" si="361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8"/>
        <v>0</v>
      </c>
      <c r="L150" s="56">
        <f t="shared" si="359"/>
        <v>0</v>
      </c>
      <c r="M150" s="56">
        <f t="shared" si="360"/>
        <v>0</v>
      </c>
      <c r="N150" s="56">
        <f t="shared" si="361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2">J151</f>
        <v>0</v>
      </c>
      <c r="L151">
        <f t="shared" si="362"/>
        <v>0</v>
      </c>
      <c r="M151">
        <f t="shared" si="362"/>
        <v>0</v>
      </c>
      <c r="N151">
        <f t="shared" si="362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3">K153+K154</f>
        <v>0</v>
      </c>
      <c r="L152" s="73">
        <f t="shared" ref="L152" si="364">L153+L154</f>
        <v>0</v>
      </c>
      <c r="M152" s="73">
        <f t="shared" ref="M152" si="365">M153+M154</f>
        <v>0</v>
      </c>
      <c r="N152" s="73">
        <f t="shared" ref="N152" si="366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7">J155</f>
        <v>0</v>
      </c>
      <c r="L155">
        <f t="shared" si="367"/>
        <v>0</v>
      </c>
      <c r="M155">
        <f t="shared" si="367"/>
        <v>0</v>
      </c>
      <c r="N155">
        <f t="shared" si="367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8">K157+K158</f>
        <v>0</v>
      </c>
      <c r="L156" s="73">
        <f t="shared" ref="L156" si="369">L157+L158</f>
        <v>0</v>
      </c>
      <c r="M156" s="73">
        <f t="shared" ref="M156" si="370">M157+M158</f>
        <v>0</v>
      </c>
      <c r="N156" s="73">
        <f t="shared" ref="N156" si="371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2">C162+C166</f>
        <v>1506</v>
      </c>
      <c r="D159">
        <f t="shared" si="372"/>
        <v>1294</v>
      </c>
      <c r="J159" s="52">
        <f>+J145*J161</f>
        <v>0</v>
      </c>
      <c r="K159" s="52">
        <f t="shared" ref="K159:N159" si="373">+K145*K161</f>
        <v>0</v>
      </c>
      <c r="L159" s="52">
        <f t="shared" si="373"/>
        <v>0</v>
      </c>
      <c r="M159" s="52">
        <f t="shared" si="373"/>
        <v>0</v>
      </c>
      <c r="N159" s="52">
        <f t="shared" si="373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74">C159/C145</f>
        <v>0.2559483344663494</v>
      </c>
      <c r="D161" s="61">
        <f t="shared" si="374"/>
        <v>0.20834004186121396</v>
      </c>
      <c r="J161" s="62">
        <f>I161</f>
        <v>0</v>
      </c>
      <c r="K161" s="62">
        <f t="shared" ref="K161:N161" si="375">J161</f>
        <v>0</v>
      </c>
      <c r="L161" s="62">
        <f t="shared" si="375"/>
        <v>0</v>
      </c>
      <c r="M161" s="62">
        <f t="shared" si="375"/>
        <v>0</v>
      </c>
      <c r="N161" s="62">
        <f t="shared" si="375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6">+K165*K172</f>
        <v>0</v>
      </c>
      <c r="L162" s="52">
        <f t="shared" si="376"/>
        <v>0</v>
      </c>
      <c r="M162" s="52">
        <f t="shared" si="376"/>
        <v>0</v>
      </c>
      <c r="N162" s="52">
        <f t="shared" si="376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7">C162/C145</f>
        <v>1.2236573759347382E-2</v>
      </c>
      <c r="D164" s="61">
        <f t="shared" si="377"/>
        <v>1.4651424891321848E-2</v>
      </c>
      <c r="J164" s="61">
        <f>I164</f>
        <v>0</v>
      </c>
      <c r="K164" s="61">
        <f t="shared" ref="K164:N164" si="378">J164</f>
        <v>0</v>
      </c>
      <c r="L164" s="61">
        <f t="shared" si="378"/>
        <v>0</v>
      </c>
      <c r="M164" s="61">
        <f t="shared" si="378"/>
        <v>0</v>
      </c>
      <c r="N164" s="61">
        <f t="shared" si="378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9">C162/C172</f>
        <v>1.44</v>
      </c>
      <c r="D165" s="61">
        <f t="shared" si="379"/>
        <v>1.8958333333333333</v>
      </c>
      <c r="J165" s="61">
        <f>I165</f>
        <v>0</v>
      </c>
      <c r="K165" s="61">
        <f t="shared" ref="K165:N165" si="380">J165</f>
        <v>0</v>
      </c>
      <c r="L165" s="61">
        <f t="shared" si="380"/>
        <v>0</v>
      </c>
      <c r="M165" s="61">
        <f t="shared" si="380"/>
        <v>0</v>
      </c>
      <c r="N165" s="61">
        <f t="shared" si="380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81">K159-K162</f>
        <v>0</v>
      </c>
      <c r="L166" s="66">
        <f t="shared" si="381"/>
        <v>0</v>
      </c>
      <c r="M166" s="66">
        <f t="shared" si="381"/>
        <v>0</v>
      </c>
      <c r="N166" s="66">
        <f t="shared" si="381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2">+IFERROR(J166/I166-1,"nm")</f>
        <v>nm</v>
      </c>
      <c r="K167" s="51" t="str">
        <f t="shared" ref="K167" si="383">+IFERROR(K166/J166-1,"nm")</f>
        <v>nm</v>
      </c>
      <c r="L167" s="51" t="str">
        <f t="shared" ref="L167" si="384">+IFERROR(L166/K166-1,"nm")</f>
        <v>nm</v>
      </c>
      <c r="M167" s="51" t="str">
        <f t="shared" ref="M167" si="385">+IFERROR(M166/L166-1,"nm")</f>
        <v>nm</v>
      </c>
      <c r="N167" s="51" t="str">
        <f t="shared" ref="N167" si="386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7">C166/C145</f>
        <v>0.24371176070700204</v>
      </c>
      <c r="D168" s="61">
        <f t="shared" si="387"/>
        <v>0.19368861696989212</v>
      </c>
      <c r="J168" s="61">
        <f>I168</f>
        <v>0</v>
      </c>
      <c r="K168" s="61">
        <f t="shared" ref="K168:N168" si="388">J168</f>
        <v>0</v>
      </c>
      <c r="L168" s="61">
        <f t="shared" si="388"/>
        <v>0</v>
      </c>
      <c r="M168" s="61">
        <f t="shared" si="388"/>
        <v>0</v>
      </c>
      <c r="N168" s="61">
        <f t="shared" si="388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9">K145*K171</f>
        <v>0</v>
      </c>
      <c r="L169">
        <f t="shared" si="389"/>
        <v>0</v>
      </c>
      <c r="M169">
        <f t="shared" si="389"/>
        <v>0</v>
      </c>
      <c r="N169">
        <f t="shared" si="389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90">J171</f>
        <v>0</v>
      </c>
      <c r="L171" s="61">
        <f t="shared" si="390"/>
        <v>0</v>
      </c>
      <c r="M171" s="61">
        <f t="shared" si="390"/>
        <v>0</v>
      </c>
      <c r="N171" s="61">
        <f t="shared" si="390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91">K145*K174</f>
        <v>0</v>
      </c>
      <c r="L172">
        <f t="shared" si="391"/>
        <v>0</v>
      </c>
      <c r="M172">
        <f t="shared" si="391"/>
        <v>0</v>
      </c>
      <c r="N172">
        <f t="shared" si="391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2">K172/J172-1</f>
        <v>#DIV/0!</v>
      </c>
      <c r="L173" s="51" t="e">
        <f t="shared" ref="L173" si="393">L172/K172-1</f>
        <v>#DIV/0!</v>
      </c>
      <c r="M173" s="51" t="e">
        <f t="shared" ref="M173" si="394">M172/L172-1</f>
        <v>#DIV/0!</v>
      </c>
      <c r="N173" s="51" t="e">
        <f t="shared" ref="N173" si="395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6">C172/C145</f>
        <v>8.4976206662134603E-3</v>
      </c>
      <c r="D174" s="61">
        <f t="shared" si="396"/>
        <v>7.7282241184994365E-3</v>
      </c>
      <c r="J174" s="61">
        <f>I174</f>
        <v>0</v>
      </c>
      <c r="K174" s="61">
        <f t="shared" ref="K174:N174" si="397">J174</f>
        <v>0</v>
      </c>
      <c r="L174" s="61">
        <f t="shared" si="397"/>
        <v>0</v>
      </c>
      <c r="M174" s="61">
        <f t="shared" si="397"/>
        <v>0</v>
      </c>
      <c r="N174" s="61">
        <f t="shared" si="397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8">J178+J182+J186</f>
        <v>0</v>
      </c>
      <c r="L176">
        <f t="shared" si="398"/>
        <v>0</v>
      </c>
      <c r="M176">
        <f t="shared" si="398"/>
        <v>0</v>
      </c>
      <c r="N176">
        <f t="shared" si="398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9">K176/J176-1</f>
        <v>#DIV/0!</v>
      </c>
      <c r="L177" s="64" t="e">
        <f t="shared" ref="L177" si="400">L176/K176-1</f>
        <v>#DIV/0!</v>
      </c>
      <c r="M177" s="64" t="e">
        <f t="shared" ref="M177" si="401">M176/L176-1</f>
        <v>#DIV/0!</v>
      </c>
      <c r="N177" s="64" t="e">
        <f t="shared" ref="N177" si="402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3">J178</f>
        <v>0</v>
      </c>
      <c r="L178">
        <f t="shared" si="403"/>
        <v>0</v>
      </c>
      <c r="M178">
        <f t="shared" si="403"/>
        <v>0</v>
      </c>
      <c r="N178">
        <f t="shared" si="403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4">K180+K181</f>
        <v>0</v>
      </c>
      <c r="L179" s="73">
        <f t="shared" ref="L179" si="405">L180+L181</f>
        <v>0</v>
      </c>
      <c r="M179" s="73">
        <f t="shared" ref="M179" si="406">M180+M181</f>
        <v>0</v>
      </c>
      <c r="N179" s="73">
        <f t="shared" ref="N179" si="407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8">+J180</f>
        <v>0</v>
      </c>
      <c r="L180" s="56">
        <f t="shared" ref="L180:L181" si="409">+K180</f>
        <v>0</v>
      </c>
      <c r="M180" s="56">
        <f t="shared" ref="M180:M181" si="410">+L180</f>
        <v>0</v>
      </c>
      <c r="N180" s="56">
        <f t="shared" ref="N180:N181" si="411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8"/>
        <v>0</v>
      </c>
      <c r="L181" s="56">
        <f t="shared" si="409"/>
        <v>0</v>
      </c>
      <c r="M181" s="56">
        <f t="shared" si="410"/>
        <v>0</v>
      </c>
      <c r="N181" s="56">
        <f t="shared" si="411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2">J182</f>
        <v>0</v>
      </c>
      <c r="L182">
        <f t="shared" si="412"/>
        <v>0</v>
      </c>
      <c r="M182">
        <f t="shared" si="412"/>
        <v>0</v>
      </c>
      <c r="N182">
        <f t="shared" si="412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3">K184+K185</f>
        <v>0</v>
      </c>
      <c r="L183" s="73">
        <f t="shared" ref="L183" si="414">L184+L185</f>
        <v>0</v>
      </c>
      <c r="M183" s="73">
        <f t="shared" ref="M183" si="415">M184+M185</f>
        <v>0</v>
      </c>
      <c r="N183" s="73">
        <f t="shared" ref="N183" si="416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7">J186</f>
        <v>0</v>
      </c>
      <c r="L186">
        <f t="shared" si="417"/>
        <v>0</v>
      </c>
      <c r="M186">
        <f t="shared" si="417"/>
        <v>0</v>
      </c>
      <c r="N186">
        <f t="shared" si="417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8">K188+K189</f>
        <v>0</v>
      </c>
      <c r="L187" s="73">
        <f t="shared" ref="L187" si="419">L188+L189</f>
        <v>0</v>
      </c>
      <c r="M187" s="73">
        <f t="shared" ref="M187" si="420">M188+M189</f>
        <v>0</v>
      </c>
      <c r="N187" s="73">
        <f t="shared" ref="N187" si="421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2">C193+C197</f>
        <v>301</v>
      </c>
      <c r="D190">
        <f t="shared" si="422"/>
        <v>257</v>
      </c>
      <c r="J190" s="52">
        <f>+J176*J192</f>
        <v>0</v>
      </c>
      <c r="K190" s="52">
        <f t="shared" ref="K190:N190" si="423">+K176*K192</f>
        <v>0</v>
      </c>
      <c r="L190" s="52">
        <f t="shared" si="423"/>
        <v>0</v>
      </c>
      <c r="M190" s="52">
        <f t="shared" si="423"/>
        <v>0</v>
      </c>
      <c r="N190" s="52">
        <f t="shared" si="423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24">C190/C176</f>
        <v>0.21034241788958771</v>
      </c>
      <c r="D192" s="61">
        <f t="shared" si="424"/>
        <v>0.17283120376597175</v>
      </c>
      <c r="J192" s="62">
        <f>I192</f>
        <v>0</v>
      </c>
      <c r="K192" s="62">
        <f t="shared" ref="K192:N192" si="425">J192</f>
        <v>0</v>
      </c>
      <c r="L192" s="62">
        <f t="shared" si="425"/>
        <v>0</v>
      </c>
      <c r="M192" s="62">
        <f t="shared" si="425"/>
        <v>0</v>
      </c>
      <c r="N192" s="62">
        <f t="shared" si="425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6">+K196*K203</f>
        <v>0</v>
      </c>
      <c r="L193" s="52">
        <f t="shared" si="426"/>
        <v>0</v>
      </c>
      <c r="M193" s="52">
        <f t="shared" si="426"/>
        <v>0</v>
      </c>
      <c r="N193" s="52">
        <f t="shared" si="426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7">C193/C176</f>
        <v>8.385744234800839E-3</v>
      </c>
      <c r="D195" s="61">
        <f t="shared" si="427"/>
        <v>8.7424344317417624E-3</v>
      </c>
      <c r="J195" s="61">
        <f>I195</f>
        <v>0</v>
      </c>
      <c r="K195" s="61">
        <f t="shared" ref="K195:N195" si="428">J195</f>
        <v>0</v>
      </c>
      <c r="L195" s="61">
        <f t="shared" si="428"/>
        <v>0</v>
      </c>
      <c r="M195" s="61">
        <f t="shared" si="428"/>
        <v>0</v>
      </c>
      <c r="N195" s="61">
        <f t="shared" si="428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9">C193/C203</f>
        <v>0.24</v>
      </c>
      <c r="D196" s="61">
        <f t="shared" si="429"/>
        <v>0.27083333333333331</v>
      </c>
      <c r="J196" s="61">
        <f>I196</f>
        <v>0</v>
      </c>
      <c r="K196" s="61">
        <f t="shared" ref="K196:N196" si="430">J196</f>
        <v>0</v>
      </c>
      <c r="L196" s="61">
        <f t="shared" si="430"/>
        <v>0</v>
      </c>
      <c r="M196" s="61">
        <f t="shared" si="430"/>
        <v>0</v>
      </c>
      <c r="N196" s="61">
        <f t="shared" si="430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31">K190-K193</f>
        <v>0</v>
      </c>
      <c r="L197" s="66">
        <f t="shared" si="431"/>
        <v>0</v>
      </c>
      <c r="M197" s="66">
        <f t="shared" si="431"/>
        <v>0</v>
      </c>
      <c r="N197" s="66">
        <f t="shared" si="431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2">+IFERROR(J197/I197-1,"nm")</f>
        <v>nm</v>
      </c>
      <c r="K198" s="51" t="str">
        <f t="shared" ref="K198" si="433">+IFERROR(K197/J197-1,"nm")</f>
        <v>nm</v>
      </c>
      <c r="L198" s="51" t="str">
        <f t="shared" ref="L198" si="434">+IFERROR(L197/K197-1,"nm")</f>
        <v>nm</v>
      </c>
      <c r="M198" s="51" t="str">
        <f t="shared" ref="M198" si="435">+IFERROR(M197/L197-1,"nm")</f>
        <v>nm</v>
      </c>
      <c r="N198" s="51" t="str">
        <f t="shared" ref="N198" si="436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7">C197/C176</f>
        <v>0.20195667365478687</v>
      </c>
      <c r="D199" s="61">
        <f t="shared" si="437"/>
        <v>0.16408876933423</v>
      </c>
      <c r="J199" s="61">
        <f>I199</f>
        <v>0</v>
      </c>
      <c r="K199" s="61">
        <f t="shared" ref="K199:N199" si="438">J199</f>
        <v>0</v>
      </c>
      <c r="L199" s="61">
        <f t="shared" si="438"/>
        <v>0</v>
      </c>
      <c r="M199" s="61">
        <f t="shared" si="438"/>
        <v>0</v>
      </c>
      <c r="N199" s="61">
        <f t="shared" si="438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9">K176*K202</f>
        <v>0</v>
      </c>
      <c r="L200">
        <f t="shared" si="439"/>
        <v>0</v>
      </c>
      <c r="M200">
        <f t="shared" si="439"/>
        <v>0</v>
      </c>
      <c r="N200">
        <f t="shared" si="439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40">J202</f>
        <v>0</v>
      </c>
      <c r="L202" s="61">
        <f t="shared" si="440"/>
        <v>0</v>
      </c>
      <c r="M202" s="61">
        <f t="shared" si="440"/>
        <v>0</v>
      </c>
      <c r="N202" s="61">
        <f t="shared" si="440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41">K176*K205</f>
        <v>0</v>
      </c>
      <c r="L203">
        <f t="shared" si="441"/>
        <v>0</v>
      </c>
      <c r="M203">
        <f t="shared" si="441"/>
        <v>0</v>
      </c>
      <c r="N203">
        <f t="shared" si="441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2">K203/J203-1</f>
        <v>#DIV/0!</v>
      </c>
      <c r="L204" s="51" t="e">
        <f t="shared" ref="L204" si="443">L203/K203-1</f>
        <v>#DIV/0!</v>
      </c>
      <c r="M204" s="51" t="e">
        <f t="shared" ref="M204" si="444">M203/L203-1</f>
        <v>#DIV/0!</v>
      </c>
      <c r="N204" s="51" t="e">
        <f t="shared" ref="N204" si="445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6">C203/C176</f>
        <v>3.494060097833683E-2</v>
      </c>
      <c r="D205" s="61">
        <f t="shared" si="446"/>
        <v>3.2279757901815739E-2</v>
      </c>
      <c r="J205" s="61">
        <f>I205</f>
        <v>0</v>
      </c>
      <c r="K205" s="61">
        <f t="shared" ref="K205:N205" si="447">J205</f>
        <v>0</v>
      </c>
      <c r="L205" s="61">
        <f t="shared" si="447"/>
        <v>0</v>
      </c>
      <c r="M205" s="61">
        <f t="shared" si="447"/>
        <v>0</v>
      </c>
      <c r="N205" s="61">
        <f t="shared" si="447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8">J209+J213+J217</f>
        <v>0</v>
      </c>
      <c r="L207">
        <f t="shared" si="448"/>
        <v>0</v>
      </c>
      <c r="M207">
        <f t="shared" si="448"/>
        <v>0</v>
      </c>
      <c r="N207">
        <f t="shared" si="448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9">K207/J207-1</f>
        <v>#DIV/0!</v>
      </c>
      <c r="L208" s="64" t="e">
        <f t="shared" ref="L208" si="450">L207/K207-1</f>
        <v>#DIV/0!</v>
      </c>
      <c r="M208" s="64" t="e">
        <f t="shared" ref="M208" si="451">M207/L207-1</f>
        <v>#DIV/0!</v>
      </c>
      <c r="N208" s="64" t="e">
        <f t="shared" ref="N208" si="452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3">J209</f>
        <v>0</v>
      </c>
      <c r="L209">
        <f t="shared" si="453"/>
        <v>0</v>
      </c>
      <c r="M209">
        <f t="shared" si="453"/>
        <v>0</v>
      </c>
      <c r="N209">
        <f t="shared" si="453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4">K211+K212</f>
        <v>0</v>
      </c>
      <c r="L210" s="73">
        <f t="shared" ref="L210" si="455">L211+L212</f>
        <v>0</v>
      </c>
      <c r="M210" s="73">
        <f t="shared" ref="M210" si="456">M211+M212</f>
        <v>0</v>
      </c>
      <c r="N210" s="73">
        <f t="shared" ref="N210" si="457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8">+J211</f>
        <v>0</v>
      </c>
      <c r="L211" s="56">
        <f t="shared" ref="L211:L212" si="459">+K211</f>
        <v>0</v>
      </c>
      <c r="M211" s="56">
        <f t="shared" ref="M211:M212" si="460">+L211</f>
        <v>0</v>
      </c>
      <c r="N211" s="56">
        <f t="shared" ref="N211:N212" si="461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8"/>
        <v>0</v>
      </c>
      <c r="L212" s="56">
        <f t="shared" si="459"/>
        <v>0</v>
      </c>
      <c r="M212" s="56">
        <f t="shared" si="460"/>
        <v>0</v>
      </c>
      <c r="N212" s="56">
        <f t="shared" si="461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2">J213</f>
        <v>0</v>
      </c>
      <c r="L213">
        <f t="shared" si="462"/>
        <v>0</v>
      </c>
      <c r="M213">
        <f t="shared" si="462"/>
        <v>0</v>
      </c>
      <c r="N213">
        <f t="shared" si="462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3">K215+K216</f>
        <v>0</v>
      </c>
      <c r="L214" s="73">
        <f t="shared" ref="L214" si="464">L215+L216</f>
        <v>0</v>
      </c>
      <c r="M214" s="73">
        <f t="shared" ref="M214" si="465">M215+M216</f>
        <v>0</v>
      </c>
      <c r="N214" s="73">
        <f t="shared" ref="N214" si="466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7">J217</f>
        <v>0</v>
      </c>
      <c r="L217">
        <f t="shared" si="467"/>
        <v>0</v>
      </c>
      <c r="M217">
        <f t="shared" si="467"/>
        <v>0</v>
      </c>
      <c r="N217">
        <f t="shared" si="467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8">K219+K220</f>
        <v>0</v>
      </c>
      <c r="L218" s="73">
        <f t="shared" ref="L218" si="469">L219+L220</f>
        <v>0</v>
      </c>
      <c r="M218" s="73">
        <f t="shared" ref="M218" si="470">M219+M220</f>
        <v>0</v>
      </c>
      <c r="N218" s="73">
        <f t="shared" ref="N218" si="471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2">C224+C228</f>
        <v>192</v>
      </c>
      <c r="D221">
        <f t="shared" si="472"/>
        <v>242</v>
      </c>
      <c r="J221" s="52">
        <f>+J207*J223</f>
        <v>0</v>
      </c>
      <c r="K221" s="52">
        <f t="shared" ref="K221:N221" si="473">+K207*K223</f>
        <v>0</v>
      </c>
      <c r="L221" s="52">
        <f t="shared" si="473"/>
        <v>0</v>
      </c>
      <c r="M221" s="52">
        <f t="shared" si="473"/>
        <v>0</v>
      </c>
      <c r="N221" s="52">
        <f t="shared" si="473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74">C221/C207</f>
        <v>0.22094361334867663</v>
      </c>
      <c r="D223" s="61">
        <f t="shared" si="474"/>
        <v>0.23865877712031558</v>
      </c>
      <c r="J223" s="62">
        <f>I223</f>
        <v>0</v>
      </c>
      <c r="K223" s="62">
        <f t="shared" ref="K223:N223" si="475">J223</f>
        <v>0</v>
      </c>
      <c r="L223" s="62">
        <f t="shared" si="475"/>
        <v>0</v>
      </c>
      <c r="M223" s="62">
        <f t="shared" si="475"/>
        <v>0</v>
      </c>
      <c r="N223" s="62">
        <f t="shared" si="475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6">+K227*K234</f>
        <v>0</v>
      </c>
      <c r="L224" s="52">
        <f t="shared" si="476"/>
        <v>0</v>
      </c>
      <c r="M224" s="52">
        <f t="shared" si="476"/>
        <v>0</v>
      </c>
      <c r="N224" s="52">
        <f t="shared" si="476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7">C224/C207</f>
        <v>2.0713463751438434E-2</v>
      </c>
      <c r="D226" s="61">
        <f t="shared" si="477"/>
        <v>1.7751479289940829E-2</v>
      </c>
      <c r="J226" s="61">
        <f>I226</f>
        <v>0</v>
      </c>
      <c r="K226" s="61">
        <f t="shared" ref="K226:N226" si="478">J226</f>
        <v>0</v>
      </c>
      <c r="L226" s="61">
        <f t="shared" si="478"/>
        <v>0</v>
      </c>
      <c r="M226" s="61">
        <f t="shared" si="478"/>
        <v>0</v>
      </c>
      <c r="N226" s="61">
        <f t="shared" si="478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9">C224/C234</f>
        <v>8.0717488789237665E-2</v>
      </c>
      <c r="D227" s="61">
        <f t="shared" si="479"/>
        <v>8.0717488789237665E-2</v>
      </c>
      <c r="J227" s="61">
        <f>I227</f>
        <v>0</v>
      </c>
      <c r="K227" s="61">
        <f t="shared" ref="K227:N227" si="480">J227</f>
        <v>0</v>
      </c>
      <c r="L227" s="61">
        <f t="shared" si="480"/>
        <v>0</v>
      </c>
      <c r="M227" s="61">
        <f t="shared" si="480"/>
        <v>0</v>
      </c>
      <c r="N227" s="61">
        <f t="shared" si="480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81">K221-K224</f>
        <v>0</v>
      </c>
      <c r="L228" s="66">
        <f t="shared" si="481"/>
        <v>0</v>
      </c>
      <c r="M228" s="66">
        <f t="shared" si="481"/>
        <v>0</v>
      </c>
      <c r="N228" s="66">
        <f t="shared" si="481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2">+IFERROR(J228/I228-1,"nm")</f>
        <v>nm</v>
      </c>
      <c r="K229" s="51" t="str">
        <f t="shared" ref="K229" si="483">+IFERROR(K228/J228-1,"nm")</f>
        <v>nm</v>
      </c>
      <c r="L229" s="51" t="str">
        <f t="shared" ref="L229" si="484">+IFERROR(L228/K228-1,"nm")</f>
        <v>nm</v>
      </c>
      <c r="M229" s="51" t="str">
        <f t="shared" ref="M229" si="485">+IFERROR(M228/L228-1,"nm")</f>
        <v>nm</v>
      </c>
      <c r="N229" s="51" t="str">
        <f t="shared" ref="N229" si="486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7">C228/C207</f>
        <v>0.2002301495972382</v>
      </c>
      <c r="D230" s="61">
        <f t="shared" si="487"/>
        <v>0.22090729783037474</v>
      </c>
      <c r="J230" s="61">
        <f>I230</f>
        <v>0</v>
      </c>
      <c r="K230" s="61">
        <f t="shared" ref="K230:N230" si="488">J230</f>
        <v>0</v>
      </c>
      <c r="L230" s="61">
        <f t="shared" si="488"/>
        <v>0</v>
      </c>
      <c r="M230" s="61">
        <f t="shared" si="488"/>
        <v>0</v>
      </c>
      <c r="N230" s="61">
        <f t="shared" si="488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9">K207*K233</f>
        <v>0</v>
      </c>
      <c r="L231">
        <f t="shared" si="489"/>
        <v>0</v>
      </c>
      <c r="M231">
        <f t="shared" si="489"/>
        <v>0</v>
      </c>
      <c r="N231">
        <f t="shared" si="489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90">J233</f>
        <v>0</v>
      </c>
      <c r="L233" s="61">
        <f t="shared" si="490"/>
        <v>0</v>
      </c>
      <c r="M233" s="61">
        <f t="shared" si="490"/>
        <v>0</v>
      </c>
      <c r="N233" s="61">
        <f t="shared" si="490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91">K207*K236</f>
        <v>0</v>
      </c>
      <c r="L234">
        <f t="shared" si="491"/>
        <v>0</v>
      </c>
      <c r="M234">
        <f t="shared" si="491"/>
        <v>0</v>
      </c>
      <c r="N234">
        <f t="shared" si="491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2">K234/J234-1</f>
        <v>#DIV/0!</v>
      </c>
      <c r="L235" s="51" t="e">
        <f t="shared" ref="L235" si="493">L234/K234-1</f>
        <v>#DIV/0!</v>
      </c>
      <c r="M235" s="51" t="e">
        <f t="shared" ref="M235" si="494">M234/L234-1</f>
        <v>#DIV/0!</v>
      </c>
      <c r="N235" s="51" t="e">
        <f t="shared" ref="N235" si="495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6">C234/C207</f>
        <v>0.25661680092059841</v>
      </c>
      <c r="D236" s="61">
        <f t="shared" si="496"/>
        <v>0.21992110453648916</v>
      </c>
      <c r="J236" s="61">
        <f>I236</f>
        <v>0</v>
      </c>
      <c r="K236" s="61">
        <f t="shared" ref="K236:N236" si="497">J236</f>
        <v>0</v>
      </c>
      <c r="L236" s="61">
        <f t="shared" si="497"/>
        <v>0</v>
      </c>
      <c r="M236" s="61">
        <f t="shared" si="497"/>
        <v>0</v>
      </c>
      <c r="N236" s="61">
        <f t="shared" si="497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8">J240+J244+J248</f>
        <v>0</v>
      </c>
      <c r="L238">
        <f t="shared" si="498"/>
        <v>0</v>
      </c>
      <c r="M238">
        <f t="shared" si="498"/>
        <v>0</v>
      </c>
      <c r="N238">
        <f t="shared" si="498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9">K238/J238-1</f>
        <v>#DIV/0!</v>
      </c>
      <c r="L239" s="64" t="e">
        <f t="shared" ref="L239" si="500">L238/K238-1</f>
        <v>#DIV/0!</v>
      </c>
      <c r="M239" s="64" t="e">
        <f t="shared" ref="M239" si="501">M238/L238-1</f>
        <v>#DIV/0!</v>
      </c>
      <c r="N239" s="64" t="e">
        <f t="shared" ref="N239" si="502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3">J240</f>
        <v>0</v>
      </c>
      <c r="L240">
        <f t="shared" si="503"/>
        <v>0</v>
      </c>
      <c r="M240">
        <f t="shared" si="503"/>
        <v>0</v>
      </c>
      <c r="N240">
        <f t="shared" si="503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4">K242+K243</f>
        <v>0</v>
      </c>
      <c r="L241" s="73">
        <f t="shared" ref="L241" si="505">L242+L243</f>
        <v>0</v>
      </c>
      <c r="M241" s="73">
        <f t="shared" ref="M241" si="506">M242+M243</f>
        <v>0</v>
      </c>
      <c r="N241" s="73">
        <f t="shared" ref="N241" si="507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8">+J242</f>
        <v>0</v>
      </c>
      <c r="L242" s="56">
        <f t="shared" ref="L242:L243" si="509">+K242</f>
        <v>0</v>
      </c>
      <c r="M242" s="56">
        <f t="shared" ref="M242:M243" si="510">+L242</f>
        <v>0</v>
      </c>
      <c r="N242" s="56">
        <f t="shared" ref="N242:N243" si="511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8"/>
        <v>0</v>
      </c>
      <c r="L243" s="56">
        <f t="shared" si="509"/>
        <v>0</v>
      </c>
      <c r="M243" s="56">
        <f t="shared" si="510"/>
        <v>0</v>
      </c>
      <c r="N243" s="56">
        <f t="shared" si="511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2">J244</f>
        <v>0</v>
      </c>
      <c r="L244">
        <f t="shared" si="512"/>
        <v>0</v>
      </c>
      <c r="M244">
        <f t="shared" si="512"/>
        <v>0</v>
      </c>
      <c r="N244">
        <f t="shared" si="512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3">K246+K247</f>
        <v>0</v>
      </c>
      <c r="L245" s="73">
        <f t="shared" ref="L245" si="514">L246+L247</f>
        <v>0</v>
      </c>
      <c r="M245" s="73">
        <f t="shared" ref="M245" si="515">M246+M247</f>
        <v>0</v>
      </c>
      <c r="N245" s="73">
        <f t="shared" ref="N245" si="516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7">J248</f>
        <v>0</v>
      </c>
      <c r="L248">
        <f t="shared" si="517"/>
        <v>0</v>
      </c>
      <c r="M248">
        <f t="shared" si="517"/>
        <v>0</v>
      </c>
      <c r="N248">
        <f t="shared" si="517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8">K250+K251</f>
        <v>0</v>
      </c>
      <c r="L249" s="73">
        <f t="shared" ref="L249" si="519">L250+L251</f>
        <v>0</v>
      </c>
      <c r="M249" s="73">
        <f t="shared" ref="M249" si="520">M250+M251</f>
        <v>0</v>
      </c>
      <c r="N249" s="73">
        <f t="shared" ref="N249" si="521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2">C255+C259</f>
        <v>917</v>
      </c>
      <c r="D252">
        <f t="shared" si="522"/>
        <v>854</v>
      </c>
      <c r="J252" s="52">
        <f>+J238*J254</f>
        <v>0</v>
      </c>
      <c r="K252" s="52">
        <f t="shared" ref="K252:N252" si="523">+K238*K254</f>
        <v>0</v>
      </c>
      <c r="L252" s="52">
        <f t="shared" si="523"/>
        <v>0</v>
      </c>
      <c r="M252" s="52">
        <f t="shared" si="523"/>
        <v>0</v>
      </c>
      <c r="N252" s="52">
        <f t="shared" si="523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24">C252/C238</f>
        <v>0.24777087273709808</v>
      </c>
      <c r="D254" s="61">
        <f t="shared" si="524"/>
        <v>0.21376720901126409</v>
      </c>
      <c r="J254" s="62">
        <f>I254</f>
        <v>0</v>
      </c>
      <c r="K254" s="62">
        <f t="shared" ref="K254:N254" si="525">J254</f>
        <v>0</v>
      </c>
      <c r="L254" s="62">
        <f t="shared" si="525"/>
        <v>0</v>
      </c>
      <c r="M254" s="62">
        <f t="shared" si="525"/>
        <v>0</v>
      </c>
      <c r="N254" s="62">
        <f t="shared" si="525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6">+K258*K265</f>
        <v>0</v>
      </c>
      <c r="L255" s="52">
        <f t="shared" si="526"/>
        <v>0</v>
      </c>
      <c r="M255" s="52">
        <f t="shared" si="526"/>
        <v>0</v>
      </c>
      <c r="N255" s="52">
        <f t="shared" si="526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7">C255/C238</f>
        <v>6.754931099702783E-3</v>
      </c>
      <c r="D257" s="61">
        <f t="shared" si="527"/>
        <v>9.5118898623279095E-3</v>
      </c>
      <c r="J257" s="61">
        <f>I257</f>
        <v>0</v>
      </c>
      <c r="K257" s="61">
        <f t="shared" ref="K257:N257" si="528">J257</f>
        <v>0</v>
      </c>
      <c r="L257" s="61">
        <f t="shared" si="528"/>
        <v>0</v>
      </c>
      <c r="M257" s="61">
        <f t="shared" si="528"/>
        <v>0</v>
      </c>
      <c r="N257" s="61">
        <f t="shared" si="528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9">J258</f>
        <v>0</v>
      </c>
      <c r="L258" s="61">
        <f t="shared" si="529"/>
        <v>0</v>
      </c>
      <c r="M258" s="61">
        <f t="shared" si="529"/>
        <v>0</v>
      </c>
      <c r="N258" s="61">
        <f t="shared" si="529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30">K252-K255</f>
        <v>0</v>
      </c>
      <c r="L259" s="66">
        <f t="shared" si="530"/>
        <v>0</v>
      </c>
      <c r="M259" s="66">
        <f t="shared" si="530"/>
        <v>0</v>
      </c>
      <c r="N259" s="66">
        <f t="shared" si="530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31">+IFERROR(J259/I259-1,"nm")</f>
        <v>nm</v>
      </c>
      <c r="K260" s="51" t="str">
        <f t="shared" ref="K260" si="532">+IFERROR(K259/J259-1,"nm")</f>
        <v>nm</v>
      </c>
      <c r="L260" s="51" t="str">
        <f t="shared" ref="L260" si="533">+IFERROR(L259/K259-1,"nm")</f>
        <v>nm</v>
      </c>
      <c r="M260" s="51" t="str">
        <f t="shared" ref="M260" si="534">+IFERROR(M259/L259-1,"nm")</f>
        <v>nm</v>
      </c>
      <c r="N260" s="51" t="str">
        <f t="shared" ref="N260" si="535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6">C259/C238</f>
        <v>0.24101594163739529</v>
      </c>
      <c r="D261" s="61">
        <f t="shared" si="536"/>
        <v>0.20425531914893616</v>
      </c>
      <c r="J261" s="61">
        <f>I261</f>
        <v>0</v>
      </c>
      <c r="K261" s="61">
        <f t="shared" ref="K261:N261" si="537">J261</f>
        <v>0</v>
      </c>
      <c r="L261" s="61">
        <f t="shared" si="537"/>
        <v>0</v>
      </c>
      <c r="M261" s="61">
        <f t="shared" si="537"/>
        <v>0</v>
      </c>
      <c r="N261" s="61">
        <f t="shared" si="537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8">K238*K264</f>
        <v>0</v>
      </c>
      <c r="L262">
        <f t="shared" si="538"/>
        <v>0</v>
      </c>
      <c r="M262">
        <f t="shared" si="538"/>
        <v>0</v>
      </c>
      <c r="N262">
        <f t="shared" si="538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9">J264</f>
        <v>0</v>
      </c>
      <c r="L264" s="61">
        <f t="shared" si="539"/>
        <v>0</v>
      </c>
      <c r="M264" s="61">
        <f t="shared" si="539"/>
        <v>0</v>
      </c>
      <c r="N264" s="61">
        <f t="shared" si="539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40">K238*K267</f>
        <v>0</v>
      </c>
      <c r="L265">
        <f t="shared" si="540"/>
        <v>0</v>
      </c>
      <c r="M265">
        <f t="shared" si="540"/>
        <v>0</v>
      </c>
      <c r="N265">
        <f t="shared" si="540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41">K265/J265-1</f>
        <v>#DIV/0!</v>
      </c>
      <c r="L266" s="51" t="e">
        <f t="shared" ref="L266" si="542">L265/K265-1</f>
        <v>#DIV/0!</v>
      </c>
      <c r="M266" s="51" t="e">
        <f t="shared" ref="M266" si="543">M265/L265-1</f>
        <v>#DIV/0!</v>
      </c>
      <c r="N266" s="51" t="e">
        <f t="shared" ref="N266" si="544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5">C265/C238</f>
        <v>2.9451499594704136E-2</v>
      </c>
      <c r="D267" s="61">
        <f t="shared" si="545"/>
        <v>3.0037546933667083E-2</v>
      </c>
      <c r="J267" s="61">
        <f>I267</f>
        <v>0</v>
      </c>
      <c r="K267" s="61">
        <f t="shared" ref="K267:N267" si="546">J267</f>
        <v>0</v>
      </c>
      <c r="L267" s="61">
        <f t="shared" si="546"/>
        <v>0</v>
      </c>
      <c r="M267" s="61">
        <f t="shared" si="546"/>
        <v>0</v>
      </c>
      <c r="N267" s="61">
        <f t="shared" si="546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7">J269*(1+K270)</f>
        <v>102</v>
      </c>
      <c r="L269">
        <f t="shared" si="547"/>
        <v>102</v>
      </c>
      <c r="M269">
        <f t="shared" si="547"/>
        <v>102</v>
      </c>
      <c r="N269">
        <f t="shared" si="547"/>
        <v>102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8">D269/C269-1</f>
        <v>0</v>
      </c>
      <c r="E270" s="61">
        <f t="shared" si="548"/>
        <v>0.20547945205479445</v>
      </c>
      <c r="F270" s="61">
        <f t="shared" si="548"/>
        <v>-0.52272727272727271</v>
      </c>
      <c r="G270" s="61">
        <f t="shared" si="548"/>
        <v>-0.2857142857142857</v>
      </c>
      <c r="H270" s="61">
        <f t="shared" si="548"/>
        <v>-0.16666666666666663</v>
      </c>
      <c r="I270" s="61">
        <f t="shared" si="548"/>
        <v>3.08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</row>
    <row r="271" spans="1:15" x14ac:dyDescent="0.2">
      <c r="A271" s="49" t="s">
        <v>113</v>
      </c>
      <c r="J271">
        <f>I271</f>
        <v>0</v>
      </c>
      <c r="K271">
        <f t="shared" ref="K271:N271" si="549">J271</f>
        <v>0</v>
      </c>
      <c r="L271">
        <f t="shared" si="549"/>
        <v>0</v>
      </c>
      <c r="M271">
        <f t="shared" si="549"/>
        <v>0</v>
      </c>
      <c r="N271">
        <f t="shared" si="549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50">K273+K274</f>
        <v>0</v>
      </c>
      <c r="L272" s="73">
        <f t="shared" ref="L272" si="551">L273+L274</f>
        <v>0</v>
      </c>
      <c r="M272" s="73">
        <f t="shared" ref="M272" si="552">M273+M274</f>
        <v>0</v>
      </c>
      <c r="N272" s="73">
        <f t="shared" ref="N272" si="553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4">+J273</f>
        <v>0</v>
      </c>
      <c r="L273" s="56">
        <f t="shared" ref="L273:L274" si="555">+K273</f>
        <v>0</v>
      </c>
      <c r="M273" s="56">
        <f t="shared" ref="M273:M274" si="556">+L273</f>
        <v>0</v>
      </c>
      <c r="N273" s="56">
        <f t="shared" ref="N273:N274" si="557">+M273</f>
        <v>0</v>
      </c>
    </row>
    <row r="274" spans="1:14" x14ac:dyDescent="0.2">
      <c r="A274" s="48" t="s">
        <v>138</v>
      </c>
      <c r="J274" s="56">
        <v>0</v>
      </c>
      <c r="K274" s="56">
        <f t="shared" si="554"/>
        <v>0</v>
      </c>
      <c r="L274" s="56">
        <f t="shared" si="555"/>
        <v>0</v>
      </c>
      <c r="M274" s="56">
        <f t="shared" si="556"/>
        <v>0</v>
      </c>
      <c r="N274" s="56">
        <f t="shared" si="557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58">J275</f>
        <v>0</v>
      </c>
      <c r="L275">
        <f t="shared" si="558"/>
        <v>0</v>
      </c>
      <c r="M275">
        <f t="shared" si="558"/>
        <v>0</v>
      </c>
      <c r="N275">
        <f t="shared" si="558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59">K277+K278</f>
        <v>0</v>
      </c>
      <c r="L276" s="73">
        <f t="shared" ref="L276" si="560">L277+L278</f>
        <v>0</v>
      </c>
      <c r="M276" s="73">
        <f t="shared" ref="M276" si="561">M277+M278</f>
        <v>0</v>
      </c>
      <c r="N276" s="73">
        <f t="shared" ref="N276" si="562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3">J279</f>
        <v>0</v>
      </c>
      <c r="L279">
        <f t="shared" si="563"/>
        <v>0</v>
      </c>
      <c r="M279">
        <f t="shared" si="563"/>
        <v>0</v>
      </c>
      <c r="N279">
        <f t="shared" si="563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4">K281+K282</f>
        <v>0</v>
      </c>
      <c r="L280" s="73">
        <f t="shared" ref="L280" si="565">L281+L282</f>
        <v>0</v>
      </c>
      <c r="M280" s="73">
        <f t="shared" ref="M280" si="566">M281+M282</f>
        <v>0</v>
      </c>
      <c r="N280" s="73">
        <f t="shared" ref="N280" si="567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8">C286+C290</f>
        <v>-2366</v>
      </c>
      <c r="D283">
        <f t="shared" si="568"/>
        <v>-2444</v>
      </c>
      <c r="E283">
        <f t="shared" si="568"/>
        <v>-2441</v>
      </c>
      <c r="F283">
        <f t="shared" si="568"/>
        <v>-3067</v>
      </c>
      <c r="G283">
        <f t="shared" si="568"/>
        <v>-3254</v>
      </c>
      <c r="H283">
        <f t="shared" si="568"/>
        <v>-3434</v>
      </c>
      <c r="I283">
        <f t="shared" si="568"/>
        <v>-4042</v>
      </c>
      <c r="J283" s="52">
        <f>+J269*J285</f>
        <v>-4042</v>
      </c>
      <c r="K283" s="52">
        <f t="shared" ref="K283:N283" si="569">+K269*K285</f>
        <v>-4042</v>
      </c>
      <c r="L283" s="52">
        <f t="shared" si="569"/>
        <v>-4042</v>
      </c>
      <c r="M283" s="52">
        <f t="shared" si="569"/>
        <v>-4042</v>
      </c>
      <c r="N283" s="52">
        <f t="shared" si="569"/>
        <v>-4042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0">-(D283/C283-1)</f>
        <v>-3.2967032967033072E-2</v>
      </c>
      <c r="E284" s="61">
        <f t="shared" si="570"/>
        <v>1.2274959083469206E-3</v>
      </c>
      <c r="F284" s="61">
        <f t="shared" si="570"/>
        <v>-0.25645227365833678</v>
      </c>
      <c r="G284" s="61">
        <f t="shared" si="570"/>
        <v>-6.0971633518095869E-2</v>
      </c>
      <c r="H284" s="61">
        <f t="shared" si="570"/>
        <v>-5.5316533497234088E-2</v>
      </c>
      <c r="I284" s="61">
        <f t="shared" si="570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71">C283/C269</f>
        <v>-32.410958904109592</v>
      </c>
      <c r="D285" s="61">
        <f t="shared" si="571"/>
        <v>-33.479452054794521</v>
      </c>
      <c r="E285" s="61">
        <f t="shared" si="571"/>
        <v>-27.738636363636363</v>
      </c>
      <c r="F285" s="61">
        <f t="shared" si="571"/>
        <v>-73.023809523809518</v>
      </c>
      <c r="G285" s="61">
        <f t="shared" si="571"/>
        <v>-108.46666666666667</v>
      </c>
      <c r="H285" s="61">
        <f t="shared" si="571"/>
        <v>-137.36000000000001</v>
      </c>
      <c r="I285" s="61">
        <f t="shared" si="571"/>
        <v>-39.627450980392155</v>
      </c>
      <c r="J285" s="62">
        <f>I285</f>
        <v>-39.627450980392155</v>
      </c>
      <c r="K285" s="62">
        <f t="shared" ref="K285:N285" si="572">J285</f>
        <v>-39.627450980392155</v>
      </c>
      <c r="L285" s="62">
        <f t="shared" si="572"/>
        <v>-39.627450980392155</v>
      </c>
      <c r="M285" s="62">
        <f t="shared" si="572"/>
        <v>-39.627450980392155</v>
      </c>
      <c r="N285" s="62">
        <f t="shared" si="572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219.99999999999997</v>
      </c>
      <c r="K286" s="52">
        <f t="shared" ref="K286:N286" si="573">+K289*K296</f>
        <v>219.99999999999997</v>
      </c>
      <c r="L286" s="52">
        <f t="shared" si="573"/>
        <v>219.99999999999997</v>
      </c>
      <c r="M286" s="52">
        <f t="shared" si="573"/>
        <v>219.99999999999997</v>
      </c>
      <c r="N286" s="52">
        <f t="shared" si="573"/>
        <v>219.99999999999997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4">D286/C286-1</f>
        <v>1.304347826086949E-2</v>
      </c>
      <c r="E287" s="61">
        <f t="shared" si="574"/>
        <v>-6.8669527896995763E-2</v>
      </c>
      <c r="F287" s="61">
        <f t="shared" si="574"/>
        <v>-0.10138248847926268</v>
      </c>
      <c r="G287" s="61">
        <f t="shared" si="574"/>
        <v>9.7435897435897534E-2</v>
      </c>
      <c r="H287" s="61">
        <f t="shared" si="574"/>
        <v>3.7383177570093462E-2</v>
      </c>
      <c r="I287" s="61">
        <f t="shared" si="574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5">C286/C269</f>
        <v>3.1506849315068495</v>
      </c>
      <c r="D288" s="61">
        <f t="shared" si="575"/>
        <v>3.1917808219178081</v>
      </c>
      <c r="E288" s="61">
        <f t="shared" si="575"/>
        <v>2.4659090909090908</v>
      </c>
      <c r="F288" s="61">
        <f t="shared" si="575"/>
        <v>4.6428571428571432</v>
      </c>
      <c r="G288" s="61">
        <f t="shared" si="575"/>
        <v>7.1333333333333337</v>
      </c>
      <c r="H288" s="61">
        <f t="shared" si="575"/>
        <v>8.8800000000000008</v>
      </c>
      <c r="I288" s="61">
        <f t="shared" si="575"/>
        <v>2.1568627450980391</v>
      </c>
      <c r="J288" s="61">
        <f>J286/J269</f>
        <v>2.1568627450980391</v>
      </c>
      <c r="K288" s="61">
        <f t="shared" ref="K288:N288" si="576">K286/K269</f>
        <v>2.1568627450980391</v>
      </c>
      <c r="L288" s="61">
        <f t="shared" si="576"/>
        <v>2.1568627450980391</v>
      </c>
      <c r="M288" s="61">
        <f t="shared" si="576"/>
        <v>2.1568627450980391</v>
      </c>
      <c r="N288" s="61">
        <f t="shared" si="576"/>
        <v>2.1568627450980391</v>
      </c>
    </row>
    <row r="289" spans="1:14" x14ac:dyDescent="0.2">
      <c r="A289" s="50" t="s">
        <v>142</v>
      </c>
      <c r="B289" s="61">
        <f>B286/B296</f>
        <v>0.43388429752066116</v>
      </c>
      <c r="C289" s="61">
        <f t="shared" ref="C289:I289" si="577">C286/C296</f>
        <v>0.45009784735812131</v>
      </c>
      <c r="D289" s="61">
        <f t="shared" si="577"/>
        <v>0.43714821763602252</v>
      </c>
      <c r="E289" s="61">
        <f t="shared" si="577"/>
        <v>0.36348408710217756</v>
      </c>
      <c r="F289" s="61">
        <f t="shared" si="577"/>
        <v>0.2932330827067669</v>
      </c>
      <c r="G289" s="61">
        <f t="shared" si="577"/>
        <v>0.25783132530120484</v>
      </c>
      <c r="H289" s="61">
        <f t="shared" si="577"/>
        <v>0.2846153846153846</v>
      </c>
      <c r="I289" s="61">
        <f t="shared" si="577"/>
        <v>0.27883396704689478</v>
      </c>
      <c r="J289" s="61">
        <f>I289</f>
        <v>0.27883396704689478</v>
      </c>
      <c r="K289" s="61">
        <f t="shared" ref="K289:N289" si="578">J289</f>
        <v>0.27883396704689478</v>
      </c>
      <c r="L289" s="61">
        <f t="shared" si="578"/>
        <v>0.27883396704689478</v>
      </c>
      <c r="M289" s="61">
        <f t="shared" si="578"/>
        <v>0.27883396704689478</v>
      </c>
      <c r="N289" s="61">
        <f t="shared" si="578"/>
        <v>0.27883396704689478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-4262</v>
      </c>
      <c r="K290" s="66">
        <f t="shared" ref="K290:N290" si="579">K283-K286</f>
        <v>-4262</v>
      </c>
      <c r="L290" s="66">
        <f t="shared" si="579"/>
        <v>-4262</v>
      </c>
      <c r="M290" s="66">
        <f t="shared" si="579"/>
        <v>-4262</v>
      </c>
      <c r="N290" s="66">
        <f t="shared" si="579"/>
        <v>-4262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0">D290/C290-1</f>
        <v>3.1201848998459125E-2</v>
      </c>
      <c r="E291" s="61">
        <f t="shared" si="580"/>
        <v>-7.097497198356395E-3</v>
      </c>
      <c r="F291" s="61">
        <f t="shared" si="580"/>
        <v>0.22723852520692245</v>
      </c>
      <c r="G291" s="61">
        <f t="shared" si="580"/>
        <v>6.3151440833844275E-2</v>
      </c>
      <c r="H291" s="61">
        <f t="shared" si="580"/>
        <v>5.4209919261822392E-2</v>
      </c>
      <c r="I291" s="61">
        <f t="shared" si="580"/>
        <v>0.16575492341356668</v>
      </c>
      <c r="J291" s="51">
        <f t="shared" ref="J291" si="581">+IFERROR(J290/I290-1,"nm")</f>
        <v>0</v>
      </c>
      <c r="K291" s="51">
        <f t="shared" ref="K291" si="582">+IFERROR(K290/J290-1,"nm")</f>
        <v>0</v>
      </c>
      <c r="L291" s="51">
        <f t="shared" ref="L291" si="583">+IFERROR(L290/K290-1,"nm")</f>
        <v>0</v>
      </c>
      <c r="M291" s="51">
        <f t="shared" ref="M291" si="584">+IFERROR(M290/L290-1,"nm")</f>
        <v>0</v>
      </c>
      <c r="N291" s="51">
        <f t="shared" ref="N291" si="585">+IFERROR(N290/M290-1,"nm")</f>
        <v>0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6">C290/C269</f>
        <v>-35.561643835616437</v>
      </c>
      <c r="D292" s="61">
        <f t="shared" si="586"/>
        <v>-36.671232876712331</v>
      </c>
      <c r="E292" s="61">
        <f t="shared" si="586"/>
        <v>-30.204545454545453</v>
      </c>
      <c r="F292" s="61">
        <f t="shared" si="586"/>
        <v>-77.666666666666671</v>
      </c>
      <c r="G292" s="61">
        <f t="shared" si="586"/>
        <v>-115.6</v>
      </c>
      <c r="H292" s="61">
        <f t="shared" si="586"/>
        <v>-146.24</v>
      </c>
      <c r="I292" s="61">
        <f t="shared" si="586"/>
        <v>-41.784313725490193</v>
      </c>
      <c r="J292" s="61">
        <f>I292</f>
        <v>-41.784313725490193</v>
      </c>
      <c r="K292" s="61">
        <f t="shared" ref="K292:N292" si="587">J292</f>
        <v>-41.784313725490193</v>
      </c>
      <c r="L292" s="61">
        <f t="shared" si="587"/>
        <v>-41.784313725490193</v>
      </c>
      <c r="M292" s="61">
        <f t="shared" si="587"/>
        <v>-41.784313725490193</v>
      </c>
      <c r="N292" s="61">
        <f t="shared" si="587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8">K269*K295</f>
        <v>0</v>
      </c>
      <c r="L293">
        <f t="shared" si="588"/>
        <v>0</v>
      </c>
      <c r="M293">
        <f t="shared" si="588"/>
        <v>0</v>
      </c>
      <c r="N293">
        <f t="shared" si="588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89">J295</f>
        <v>0</v>
      </c>
      <c r="L295" s="61">
        <f t="shared" si="589"/>
        <v>0</v>
      </c>
      <c r="M295" s="61">
        <f t="shared" si="589"/>
        <v>0</v>
      </c>
      <c r="N295" s="61">
        <f t="shared" si="589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90">K269*K298</f>
        <v>789</v>
      </c>
      <c r="L296">
        <f t="shared" si="590"/>
        <v>789</v>
      </c>
      <c r="M296">
        <f t="shared" si="590"/>
        <v>789</v>
      </c>
      <c r="N296">
        <f t="shared" si="590"/>
        <v>789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1">D296/C296-1</f>
        <v>4.3052837573385627E-2</v>
      </c>
      <c r="E297" s="61">
        <f t="shared" si="591"/>
        <v>0.12007504690431525</v>
      </c>
      <c r="F297" s="61">
        <f t="shared" si="591"/>
        <v>0.11390284757118918</v>
      </c>
      <c r="G297" s="61">
        <f t="shared" si="591"/>
        <v>0.24812030075187974</v>
      </c>
      <c r="H297" s="61">
        <f t="shared" si="591"/>
        <v>-6.0240963855421659E-2</v>
      </c>
      <c r="I297" s="61">
        <f t="shared" si="591"/>
        <v>1.1538461538461497E-2</v>
      </c>
      <c r="J297" s="51">
        <f>J296/I296-1</f>
        <v>0</v>
      </c>
      <c r="K297" s="51">
        <f t="shared" ref="K297" si="592">K296/J296-1</f>
        <v>0</v>
      </c>
      <c r="L297" s="51">
        <f t="shared" ref="L297" si="593">L296/K296-1</f>
        <v>0</v>
      </c>
      <c r="M297" s="51">
        <f t="shared" ref="M297" si="594">M296/L296-1</f>
        <v>0</v>
      </c>
      <c r="N297" s="51">
        <f t="shared" ref="N297" si="595">N296/M296-1</f>
        <v>0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6">C296/C269</f>
        <v>7</v>
      </c>
      <c r="D298" s="61">
        <f t="shared" si="596"/>
        <v>7.3013698630136989</v>
      </c>
      <c r="E298" s="61">
        <f t="shared" si="596"/>
        <v>6.7840909090909092</v>
      </c>
      <c r="F298" s="61">
        <f t="shared" si="596"/>
        <v>15.833333333333334</v>
      </c>
      <c r="G298" s="61">
        <f t="shared" si="596"/>
        <v>27.666666666666668</v>
      </c>
      <c r="H298" s="61">
        <f t="shared" si="596"/>
        <v>31.2</v>
      </c>
      <c r="I298" s="61">
        <f t="shared" si="596"/>
        <v>7.7352941176470589</v>
      </c>
      <c r="J298" s="61">
        <f>I298</f>
        <v>7.7352941176470589</v>
      </c>
      <c r="K298" s="61">
        <f t="shared" ref="K298:N298" si="597">J298</f>
        <v>7.7352941176470589</v>
      </c>
      <c r="L298" s="61">
        <f t="shared" si="597"/>
        <v>7.7352941176470589</v>
      </c>
      <c r="M298" s="61">
        <f t="shared" si="597"/>
        <v>7.7352941176470589</v>
      </c>
      <c r="N298" s="61">
        <f t="shared" si="597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7">
        <f>J302+J306+J310+J314</f>
        <v>2346</v>
      </c>
      <c r="K300" s="77">
        <f t="shared" ref="K300:N300" si="598">K302+K306+K310+K314</f>
        <v>2346</v>
      </c>
      <c r="L300" s="77">
        <f t="shared" si="598"/>
        <v>2346</v>
      </c>
      <c r="M300" s="77">
        <f t="shared" si="598"/>
        <v>2346</v>
      </c>
      <c r="N300" s="77">
        <f t="shared" si="598"/>
        <v>2346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9">D300/C300-1</f>
        <v>4.4501278772378416E-2</v>
      </c>
      <c r="E301" s="61">
        <f t="shared" si="599"/>
        <v>-7.6395690499510338E-2</v>
      </c>
      <c r="F301" s="61">
        <f t="shared" si="599"/>
        <v>1.0604453870625585E-2</v>
      </c>
      <c r="G301" s="61">
        <f t="shared" si="599"/>
        <v>-3.147953830010497E-2</v>
      </c>
      <c r="H301" s="61">
        <f t="shared" si="599"/>
        <v>0.19447453954496208</v>
      </c>
      <c r="I301" s="61">
        <f>I300/H300-1</f>
        <v>6.3945578231292544E-2</v>
      </c>
      <c r="J301" s="64">
        <f>J300/I300-1</f>
        <v>0</v>
      </c>
      <c r="K301" s="64">
        <f t="shared" ref="K301" si="600">K300/J300-1</f>
        <v>0</v>
      </c>
      <c r="L301" s="64">
        <f t="shared" ref="L301" si="601">L300/K300-1</f>
        <v>0</v>
      </c>
      <c r="M301" s="64">
        <f t="shared" ref="M301" si="602">M300/L300-1</f>
        <v>0</v>
      </c>
      <c r="N301" s="64">
        <f t="shared" ref="N301" si="603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4">J302*(1+K303)</f>
        <v>2094</v>
      </c>
      <c r="L302">
        <f t="shared" si="604"/>
        <v>2094</v>
      </c>
      <c r="M302">
        <f t="shared" si="604"/>
        <v>2094</v>
      </c>
      <c r="N302">
        <f t="shared" si="604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5">G302/F302-1</f>
        <v>-9.6501809408926498E-3</v>
      </c>
      <c r="H303" s="61">
        <f t="shared" si="605"/>
        <v>0.2095006090133984</v>
      </c>
      <c r="I303" s="61">
        <f t="shared" si="605"/>
        <v>5.4380664652567967E-2</v>
      </c>
      <c r="J303" s="73">
        <f>J304+J305</f>
        <v>0</v>
      </c>
      <c r="K303" s="73">
        <f t="shared" ref="K303" si="606">K304+K305</f>
        <v>0</v>
      </c>
      <c r="L303" s="73">
        <f t="shared" ref="L303" si="607">L304+L305</f>
        <v>0</v>
      </c>
      <c r="M303" s="73">
        <f t="shared" ref="M303" si="608">M304+M305</f>
        <v>0</v>
      </c>
      <c r="N303" s="73">
        <f t="shared" ref="N303" si="609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0">+J304</f>
        <v>0</v>
      </c>
      <c r="L304" s="56">
        <f t="shared" ref="L304:L305" si="611">+K304</f>
        <v>0</v>
      </c>
      <c r="M304" s="56">
        <f t="shared" ref="M304:M305" si="612">+L304</f>
        <v>0</v>
      </c>
      <c r="N304" s="56">
        <f t="shared" ref="N304:N305" si="613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4">G303-G304</f>
        <v>3.4981905910735044E-4</v>
      </c>
      <c r="H305" s="72">
        <f t="shared" si="614"/>
        <v>-4.9939098660159442E-4</v>
      </c>
      <c r="I305" s="72">
        <f t="shared" si="614"/>
        <v>-5.6193353474320307E-3</v>
      </c>
      <c r="J305" s="56">
        <v>0</v>
      </c>
      <c r="K305" s="56">
        <f t="shared" si="610"/>
        <v>0</v>
      </c>
      <c r="L305" s="56">
        <f t="shared" si="611"/>
        <v>0</v>
      </c>
      <c r="M305" s="56">
        <f t="shared" si="612"/>
        <v>0</v>
      </c>
      <c r="N305" s="56">
        <f t="shared" si="613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5">J306*(1+K307)</f>
        <v>103</v>
      </c>
      <c r="L306">
        <f t="shared" si="615"/>
        <v>103</v>
      </c>
      <c r="M306">
        <f t="shared" si="615"/>
        <v>103</v>
      </c>
      <c r="N306">
        <f t="shared" si="615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6">G306/F306-1</f>
        <v>-0.24576271186440679</v>
      </c>
      <c r="H307" s="61">
        <f t="shared" si="616"/>
        <v>0.1685393258426966</v>
      </c>
      <c r="I307" s="61">
        <f t="shared" si="616"/>
        <v>-9.6153846153845812E-3</v>
      </c>
      <c r="J307" s="73">
        <f>J308+J309</f>
        <v>0</v>
      </c>
      <c r="K307" s="73">
        <f t="shared" ref="K307" si="617">K308+K309</f>
        <v>0</v>
      </c>
      <c r="L307" s="73">
        <f t="shared" ref="L307" si="618">L308+L309</f>
        <v>0</v>
      </c>
      <c r="M307" s="73">
        <f t="shared" ref="M307" si="619">M308+M309</f>
        <v>0</v>
      </c>
      <c r="N307" s="73">
        <f t="shared" ref="N307" si="620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1">G307-G308</f>
        <v>4.237288135593209E-3</v>
      </c>
      <c r="H309" s="61">
        <f t="shared" si="621"/>
        <v>-1.4606741573034154E-3</v>
      </c>
      <c r="I309" s="61">
        <f t="shared" si="621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2">J310*(1+K311)</f>
        <v>26</v>
      </c>
      <c r="L310">
        <f t="shared" si="622"/>
        <v>26</v>
      </c>
      <c r="M310">
        <f t="shared" si="622"/>
        <v>26</v>
      </c>
      <c r="N310">
        <f t="shared" si="622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3">G310/F310-1</f>
        <v>4.1666666666666741E-2</v>
      </c>
      <c r="H311" s="61">
        <f t="shared" si="623"/>
        <v>0.15999999999999992</v>
      </c>
      <c r="I311" s="61">
        <f t="shared" si="623"/>
        <v>-0.10344827586206895</v>
      </c>
      <c r="J311" s="73">
        <f>J312+J313</f>
        <v>0</v>
      </c>
      <c r="K311" s="73">
        <f t="shared" ref="K311" si="624">K312+K313</f>
        <v>0</v>
      </c>
      <c r="L311" s="73">
        <f t="shared" ref="L311" si="625">L312+L313</f>
        <v>0</v>
      </c>
      <c r="M311" s="73">
        <f t="shared" ref="M311" si="626">M312+M313</f>
        <v>0</v>
      </c>
      <c r="N311" s="73">
        <f t="shared" ref="N311" si="627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8">G311-G312</f>
        <v>1.6666666666667398E-3</v>
      </c>
      <c r="H313" s="61">
        <f t="shared" si="628"/>
        <v>0</v>
      </c>
      <c r="I313" s="61">
        <f t="shared" si="628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49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7">
        <f>I314*(1+J315)</f>
        <v>123</v>
      </c>
      <c r="K314" s="77">
        <f t="shared" ref="K314:N314" si="629">J314*(1+K315)</f>
        <v>123</v>
      </c>
      <c r="L314" s="77">
        <f t="shared" si="629"/>
        <v>123</v>
      </c>
      <c r="M314" s="77">
        <f t="shared" si="629"/>
        <v>123</v>
      </c>
      <c r="N314" s="77">
        <f t="shared" si="629"/>
        <v>123</v>
      </c>
    </row>
    <row r="315" spans="1:14" x14ac:dyDescent="0.2">
      <c r="A315" s="48" t="s">
        <v>129</v>
      </c>
      <c r="E315" t="s">
        <v>158</v>
      </c>
      <c r="F315" s="61">
        <f>F314/E314-1</f>
        <v>2.9126213592232997E-2</v>
      </c>
      <c r="G315" s="61">
        <f t="shared" ref="G315:I315" si="630">G314/F314-1</f>
        <v>-0.15094339622641506</v>
      </c>
      <c r="H315" s="61">
        <f t="shared" si="630"/>
        <v>-4.4444444444444398E-2</v>
      </c>
      <c r="I315" s="61">
        <f t="shared" si="630"/>
        <v>0.43023255813953498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</row>
    <row r="316" spans="1:14" x14ac:dyDescent="0.2">
      <c r="A316" s="48" t="s">
        <v>137</v>
      </c>
      <c r="E316" t="s">
        <v>158</v>
      </c>
      <c r="F316" s="61">
        <f>Historicals!F254</f>
        <v>0.03</v>
      </c>
      <c r="G316" s="61">
        <f>Historicals!G254</f>
        <v>-0.15</v>
      </c>
      <c r="H316" s="61">
        <f>Historicals!H254</f>
        <v>-0.04</v>
      </c>
      <c r="I316" s="61">
        <f>Historicals!I254</f>
        <v>0.42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</row>
    <row r="317" spans="1:14" x14ac:dyDescent="0.2">
      <c r="A317" s="48" t="s">
        <v>138</v>
      </c>
      <c r="E317" t="s">
        <v>158</v>
      </c>
      <c r="F317" s="61">
        <f>F315-F316</f>
        <v>-8.7378640776700212E-4</v>
      </c>
      <c r="G317" s="61">
        <f t="shared" ref="G317:I317" si="631">G315-G316</f>
        <v>-9.4339622641506637E-4</v>
      </c>
      <c r="H317" s="61">
        <f t="shared" si="631"/>
        <v>-4.4444444444443967E-3</v>
      </c>
      <c r="I317" s="61">
        <f t="shared" si="631"/>
        <v>1.0232558139534997E-2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</row>
    <row r="318" spans="1:14" x14ac:dyDescent="0.2">
      <c r="A318" s="9" t="s">
        <v>130</v>
      </c>
      <c r="B318">
        <f>B321+B325</f>
        <v>535</v>
      </c>
      <c r="C318">
        <f t="shared" ref="C318:I318" si="632">C321+C325</f>
        <v>514</v>
      </c>
      <c r="D318">
        <f t="shared" si="632"/>
        <v>505</v>
      </c>
      <c r="E318">
        <f t="shared" si="632"/>
        <v>343</v>
      </c>
      <c r="F318">
        <f t="shared" si="632"/>
        <v>334</v>
      </c>
      <c r="G318">
        <f t="shared" si="632"/>
        <v>322</v>
      </c>
      <c r="H318">
        <f t="shared" si="632"/>
        <v>569</v>
      </c>
      <c r="I318">
        <f t="shared" si="632"/>
        <v>691</v>
      </c>
      <c r="J318" s="52">
        <f>+J300*J320</f>
        <v>691</v>
      </c>
      <c r="K318" s="52">
        <f t="shared" ref="K318:N318" si="633">+K300*K320</f>
        <v>691</v>
      </c>
      <c r="L318" s="52">
        <f t="shared" si="633"/>
        <v>691</v>
      </c>
      <c r="M318" s="52">
        <f t="shared" si="633"/>
        <v>691</v>
      </c>
      <c r="N318" s="52">
        <f t="shared" si="633"/>
        <v>691</v>
      </c>
    </row>
    <row r="319" spans="1:14" x14ac:dyDescent="0.2">
      <c r="A319" s="50" t="s">
        <v>129</v>
      </c>
      <c r="B319" t="s">
        <v>158</v>
      </c>
      <c r="C319" s="61">
        <f>C318/B318-1</f>
        <v>-3.9252336448598157E-2</v>
      </c>
      <c r="D319" s="61">
        <f t="shared" ref="D319:I319" si="634">D318/C318-1</f>
        <v>-1.7509727626459193E-2</v>
      </c>
      <c r="E319" s="61">
        <f t="shared" si="634"/>
        <v>-0.32079207920792074</v>
      </c>
      <c r="F319" s="61">
        <f t="shared" si="634"/>
        <v>-2.6239067055393583E-2</v>
      </c>
      <c r="G319" s="61">
        <f t="shared" si="634"/>
        <v>-3.59281437125748E-2</v>
      </c>
      <c r="H319" s="61">
        <f t="shared" si="634"/>
        <v>0.76708074534161486</v>
      </c>
      <c r="I319" s="61">
        <f t="shared" si="634"/>
        <v>0.21441124780316345</v>
      </c>
      <c r="J319" s="75">
        <v>0</v>
      </c>
      <c r="K319" s="75">
        <v>0</v>
      </c>
      <c r="L319" s="75">
        <v>0</v>
      </c>
      <c r="M319" s="75">
        <v>0</v>
      </c>
      <c r="N319" s="75">
        <v>0</v>
      </c>
    </row>
    <row r="320" spans="1:14" x14ac:dyDescent="0.2">
      <c r="A320" s="50" t="s">
        <v>131</v>
      </c>
      <c r="B320" s="61">
        <f>B318/B300</f>
        <v>0.26992936427850656</v>
      </c>
      <c r="C320" s="61">
        <f t="shared" ref="C320:I320" si="635">C318/C300</f>
        <v>0.26291560102301792</v>
      </c>
      <c r="D320" s="61">
        <f t="shared" si="635"/>
        <v>0.24730656219392752</v>
      </c>
      <c r="E320" s="61">
        <f t="shared" si="635"/>
        <v>0.18186638388123011</v>
      </c>
      <c r="F320" s="61">
        <f t="shared" si="635"/>
        <v>0.17523609653725078</v>
      </c>
      <c r="G320" s="61">
        <f t="shared" si="635"/>
        <v>0.17443120260021669</v>
      </c>
      <c r="H320" s="61">
        <f t="shared" si="635"/>
        <v>0.25804988662131517</v>
      </c>
      <c r="I320" s="61">
        <f t="shared" si="635"/>
        <v>0.29454390451832907</v>
      </c>
      <c r="J320" s="62">
        <f>I320</f>
        <v>0.29454390451832907</v>
      </c>
      <c r="K320" s="62">
        <f t="shared" ref="K320:N320" si="636">J320</f>
        <v>0.29454390451832907</v>
      </c>
      <c r="L320" s="62">
        <f t="shared" si="636"/>
        <v>0.29454390451832907</v>
      </c>
      <c r="M320" s="62">
        <f t="shared" si="636"/>
        <v>0.29454390451832907</v>
      </c>
      <c r="N320" s="62">
        <f t="shared" si="636"/>
        <v>0.29454390451832907</v>
      </c>
    </row>
    <row r="321" spans="1:14" x14ac:dyDescent="0.2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52">
        <f>J324*J331</f>
        <v>22</v>
      </c>
      <c r="K321" s="52">
        <f t="shared" ref="K321:N321" si="637">+K324*K331</f>
        <v>22</v>
      </c>
      <c r="L321" s="52">
        <f t="shared" si="637"/>
        <v>22</v>
      </c>
      <c r="M321" s="52">
        <f t="shared" si="637"/>
        <v>22</v>
      </c>
      <c r="N321" s="52">
        <f t="shared" si="637"/>
        <v>22</v>
      </c>
    </row>
    <row r="322" spans="1:14" x14ac:dyDescent="0.2">
      <c r="A322" s="50" t="s">
        <v>129</v>
      </c>
      <c r="B322" t="s">
        <v>158</v>
      </c>
      <c r="C322" s="61">
        <f>C321/B321-1</f>
        <v>0.5</v>
      </c>
      <c r="D322" s="61">
        <f t="shared" ref="D322:I322" si="638">D321/C321-1</f>
        <v>3.7037037037036979E-2</v>
      </c>
      <c r="E322" s="61">
        <f t="shared" si="638"/>
        <v>0.1785714285714286</v>
      </c>
      <c r="F322" s="61">
        <f t="shared" si="638"/>
        <v>-6.0606060606060552E-2</v>
      </c>
      <c r="G322" s="61">
        <f t="shared" si="638"/>
        <v>-0.19354838709677424</v>
      </c>
      <c r="H322" s="61">
        <f t="shared" si="638"/>
        <v>4.0000000000000036E-2</v>
      </c>
      <c r="I322" s="61">
        <f t="shared" si="638"/>
        <v>-0.15384615384615385</v>
      </c>
      <c r="J322" s="75">
        <v>0</v>
      </c>
      <c r="K322" s="75">
        <v>0</v>
      </c>
      <c r="L322" s="75">
        <v>0</v>
      </c>
      <c r="M322" s="75">
        <v>0</v>
      </c>
      <c r="N322" s="75">
        <v>0</v>
      </c>
    </row>
    <row r="323" spans="1:14" x14ac:dyDescent="0.2">
      <c r="A323" s="50" t="s">
        <v>133</v>
      </c>
      <c r="B323" s="61">
        <f>B321/B300</f>
        <v>9.0817356205852677E-3</v>
      </c>
      <c r="C323" s="61">
        <f t="shared" ref="C323:I323" si="639">C321/C300</f>
        <v>1.3810741687979539E-2</v>
      </c>
      <c r="D323" s="61">
        <f t="shared" si="639"/>
        <v>1.3712047012732615E-2</v>
      </c>
      <c r="E323" s="61">
        <f t="shared" si="639"/>
        <v>1.7497348886532343E-2</v>
      </c>
      <c r="F323" s="61">
        <f t="shared" si="639"/>
        <v>1.6264428121720881E-2</v>
      </c>
      <c r="G323" s="61">
        <f t="shared" si="639"/>
        <v>1.3542795232936078E-2</v>
      </c>
      <c r="H323" s="61">
        <f t="shared" si="639"/>
        <v>1.1791383219954649E-2</v>
      </c>
      <c r="I323" s="61">
        <f t="shared" si="639"/>
        <v>9.3776641091219103E-3</v>
      </c>
      <c r="J323" s="61">
        <f>I323</f>
        <v>9.3776641091219103E-3</v>
      </c>
      <c r="K323" s="61">
        <f t="shared" ref="K323:N323" si="640">J323</f>
        <v>9.3776641091219103E-3</v>
      </c>
      <c r="L323" s="61">
        <f t="shared" si="640"/>
        <v>9.3776641091219103E-3</v>
      </c>
      <c r="M323" s="61">
        <f t="shared" si="640"/>
        <v>9.3776641091219103E-3</v>
      </c>
      <c r="N323" s="61">
        <f t="shared" si="640"/>
        <v>9.3776641091219103E-3</v>
      </c>
    </row>
    <row r="324" spans="1:14" x14ac:dyDescent="0.2">
      <c r="A324" s="50" t="s">
        <v>142</v>
      </c>
      <c r="B324" s="61">
        <f>B321/B331</f>
        <v>0.14754098360655737</v>
      </c>
      <c r="C324" s="61">
        <f t="shared" ref="C324:I324" si="641">C321/C331</f>
        <v>0.216</v>
      </c>
      <c r="D324" s="61">
        <f t="shared" si="641"/>
        <v>0.224</v>
      </c>
      <c r="E324" s="61">
        <f t="shared" si="641"/>
        <v>0.28695652173913044</v>
      </c>
      <c r="F324" s="61">
        <f t="shared" si="641"/>
        <v>0.31</v>
      </c>
      <c r="G324" s="61">
        <f t="shared" si="641"/>
        <v>0.3125</v>
      </c>
      <c r="H324" s="61">
        <f t="shared" si="641"/>
        <v>0.41269841269841268</v>
      </c>
      <c r="I324" s="61">
        <f t="shared" si="641"/>
        <v>0.44897959183673469</v>
      </c>
      <c r="J324" s="61">
        <f>I324</f>
        <v>0.44897959183673469</v>
      </c>
      <c r="K324" s="61">
        <f t="shared" ref="K324:N324" si="642">J324</f>
        <v>0.44897959183673469</v>
      </c>
      <c r="L324" s="61">
        <f t="shared" si="642"/>
        <v>0.44897959183673469</v>
      </c>
      <c r="M324" s="61">
        <f t="shared" si="642"/>
        <v>0.44897959183673469</v>
      </c>
      <c r="N324" s="61">
        <f t="shared" si="642"/>
        <v>0.44897959183673469</v>
      </c>
    </row>
    <row r="325" spans="1:14" x14ac:dyDescent="0.2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66">
        <f>J318-J321</f>
        <v>669</v>
      </c>
      <c r="K325" s="66">
        <f t="shared" ref="K325:N325" si="643">K318-K321</f>
        <v>669</v>
      </c>
      <c r="L325" s="66">
        <f t="shared" si="643"/>
        <v>669</v>
      </c>
      <c r="M325" s="66">
        <f t="shared" si="643"/>
        <v>669</v>
      </c>
      <c r="N325" s="66">
        <f t="shared" si="643"/>
        <v>669</v>
      </c>
    </row>
    <row r="326" spans="1:14" x14ac:dyDescent="0.2">
      <c r="A326" s="50" t="s">
        <v>129</v>
      </c>
      <c r="B326" t="s">
        <v>158</v>
      </c>
      <c r="C326" s="61">
        <f>C325/B325-1</f>
        <v>-5.8027079303675011E-2</v>
      </c>
      <c r="D326" s="61">
        <f t="shared" ref="D326:I326" si="644">D325/C325-1</f>
        <v>-2.0533880903490731E-2</v>
      </c>
      <c r="E326" s="61">
        <f t="shared" si="644"/>
        <v>-0.35010482180293501</v>
      </c>
      <c r="F326" s="61">
        <f t="shared" si="644"/>
        <v>-2.2580645161290325E-2</v>
      </c>
      <c r="G326" s="61">
        <f t="shared" si="644"/>
        <v>-1.980198019801982E-2</v>
      </c>
      <c r="H326" s="61">
        <f t="shared" si="644"/>
        <v>0.82828282828282829</v>
      </c>
      <c r="I326" s="61">
        <f t="shared" si="644"/>
        <v>0.2320441988950277</v>
      </c>
      <c r="J326" s="51">
        <f t="shared" ref="J326" si="645">+IFERROR(J325/I325-1,"nm")</f>
        <v>0</v>
      </c>
      <c r="K326" s="51">
        <f t="shared" ref="K326" si="646">+IFERROR(K325/J325-1,"nm")</f>
        <v>0</v>
      </c>
      <c r="L326" s="51">
        <f t="shared" ref="L326" si="647">+IFERROR(L325/K325-1,"nm")</f>
        <v>0</v>
      </c>
      <c r="M326" s="51">
        <f t="shared" ref="M326" si="648">+IFERROR(M325/L325-1,"nm")</f>
        <v>0</v>
      </c>
      <c r="N326" s="51">
        <f t="shared" ref="N326" si="649">+IFERROR(N325/M325-1,"nm")</f>
        <v>0</v>
      </c>
    </row>
    <row r="327" spans="1:14" x14ac:dyDescent="0.2">
      <c r="A327" s="50" t="s">
        <v>131</v>
      </c>
      <c r="B327" s="61">
        <f>B325/B300</f>
        <v>0.26084762865792127</v>
      </c>
      <c r="C327" s="61">
        <f t="shared" ref="C327:I327" si="650">C325/C300</f>
        <v>0.24910485933503837</v>
      </c>
      <c r="D327" s="61">
        <f t="shared" si="650"/>
        <v>0.23359451518119489</v>
      </c>
      <c r="E327" s="61">
        <f t="shared" si="650"/>
        <v>0.16436903499469777</v>
      </c>
      <c r="F327" s="61">
        <f t="shared" si="650"/>
        <v>0.1589716684155299</v>
      </c>
      <c r="G327" s="61">
        <f t="shared" si="650"/>
        <v>0.16088840736728061</v>
      </c>
      <c r="H327" s="61">
        <f t="shared" si="650"/>
        <v>0.24625850340136055</v>
      </c>
      <c r="I327" s="61">
        <f t="shared" si="650"/>
        <v>0.28516624040920718</v>
      </c>
      <c r="J327" s="61">
        <f>I327</f>
        <v>0.28516624040920718</v>
      </c>
      <c r="K327" s="61">
        <f t="shared" ref="K327:N327" si="651">J327</f>
        <v>0.28516624040920718</v>
      </c>
      <c r="L327" s="61">
        <f t="shared" si="651"/>
        <v>0.28516624040920718</v>
      </c>
      <c r="M327" s="61">
        <f t="shared" si="651"/>
        <v>0.28516624040920718</v>
      </c>
      <c r="N327" s="61">
        <f t="shared" si="651"/>
        <v>0.28516624040920718</v>
      </c>
    </row>
    <row r="328" spans="1:14" x14ac:dyDescent="0.2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7">
        <f>J300*J330</f>
        <v>9</v>
      </c>
      <c r="K328" s="77">
        <f t="shared" ref="K328:N328" si="652">K300*K330</f>
        <v>9</v>
      </c>
      <c r="L328" s="77">
        <f t="shared" si="652"/>
        <v>9</v>
      </c>
      <c r="M328" s="77">
        <f t="shared" si="652"/>
        <v>9</v>
      </c>
      <c r="N328" s="77">
        <f t="shared" si="652"/>
        <v>9</v>
      </c>
    </row>
    <row r="329" spans="1:14" x14ac:dyDescent="0.2">
      <c r="A329" s="50" t="s">
        <v>129</v>
      </c>
      <c r="E329" t="s">
        <v>158</v>
      </c>
      <c r="F329" s="61">
        <f>F328/E328-1</f>
        <v>-0.18181818181818177</v>
      </c>
      <c r="G329" s="61">
        <f t="shared" ref="G329:I329" si="653">G328/F328-1</f>
        <v>-0.33333333333333337</v>
      </c>
      <c r="H329" s="61">
        <f t="shared" si="653"/>
        <v>-0.41666666666666663</v>
      </c>
      <c r="I329" s="61">
        <f t="shared" si="653"/>
        <v>0.28571428571428581</v>
      </c>
      <c r="J329" s="75">
        <v>0</v>
      </c>
      <c r="K329" s="75">
        <v>0</v>
      </c>
      <c r="L329" s="75">
        <v>0</v>
      </c>
      <c r="M329" s="75">
        <v>0</v>
      </c>
      <c r="N329" s="75">
        <v>0</v>
      </c>
    </row>
    <row r="330" spans="1:14" x14ac:dyDescent="0.2">
      <c r="A330" s="50" t="s">
        <v>133</v>
      </c>
      <c r="E330" s="61">
        <f>E328/E300</f>
        <v>1.166489925768823E-2</v>
      </c>
      <c r="F330" s="61">
        <f t="shared" ref="F330:I330" si="654">F328/F300</f>
        <v>9.4438614900314802E-3</v>
      </c>
      <c r="G330" s="61">
        <f t="shared" si="654"/>
        <v>6.5005417118093175E-3</v>
      </c>
      <c r="H330" s="61">
        <f t="shared" si="654"/>
        <v>3.1746031746031746E-3</v>
      </c>
      <c r="I330" s="61">
        <f t="shared" si="654"/>
        <v>3.8363171355498722E-3</v>
      </c>
      <c r="J330" s="61">
        <f>I330</f>
        <v>3.8363171355498722E-3</v>
      </c>
      <c r="K330" s="61">
        <f t="shared" ref="K330:N330" si="655">J330</f>
        <v>3.8363171355498722E-3</v>
      </c>
      <c r="L330" s="61">
        <f t="shared" si="655"/>
        <v>3.8363171355498722E-3</v>
      </c>
      <c r="M330" s="61">
        <f t="shared" si="655"/>
        <v>3.8363171355498722E-3</v>
      </c>
      <c r="N330" s="61">
        <f t="shared" si="655"/>
        <v>3.8363171355498722E-3</v>
      </c>
    </row>
    <row r="331" spans="1:14" x14ac:dyDescent="0.2">
      <c r="A331" s="68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7">
        <f>J300*J333</f>
        <v>49</v>
      </c>
      <c r="K331" s="77">
        <f t="shared" ref="K331:N331" si="656">K300*K333</f>
        <v>49</v>
      </c>
      <c r="L331" s="77">
        <f t="shared" si="656"/>
        <v>49</v>
      </c>
      <c r="M331" s="77">
        <f t="shared" si="656"/>
        <v>49</v>
      </c>
      <c r="N331" s="77">
        <f t="shared" si="656"/>
        <v>49</v>
      </c>
    </row>
    <row r="332" spans="1:14" x14ac:dyDescent="0.2">
      <c r="A332" s="50" t="s">
        <v>129</v>
      </c>
      <c r="B332" t="s">
        <v>158</v>
      </c>
      <c r="C332" s="61">
        <f>C331/B331-1</f>
        <v>2.4590163934426146E-2</v>
      </c>
      <c r="D332" s="61">
        <f t="shared" ref="D332:I332" si="657">D331/C331-1</f>
        <v>0</v>
      </c>
      <c r="E332" s="61">
        <f t="shared" si="657"/>
        <v>-7.999999999999996E-2</v>
      </c>
      <c r="F332" s="61">
        <f t="shared" si="657"/>
        <v>-0.13043478260869568</v>
      </c>
      <c r="G332" s="61">
        <f t="shared" si="657"/>
        <v>-0.19999999999999996</v>
      </c>
      <c r="H332" s="61">
        <f t="shared" si="657"/>
        <v>-0.21250000000000002</v>
      </c>
      <c r="I332" s="61">
        <f t="shared" si="657"/>
        <v>-0.22222222222222221</v>
      </c>
      <c r="J332" s="51">
        <f>J331/I331-1</f>
        <v>0</v>
      </c>
      <c r="K332" s="51">
        <f t="shared" ref="K332" si="658">K331/J331-1</f>
        <v>0</v>
      </c>
      <c r="L332" s="51">
        <f t="shared" ref="L332" si="659">L331/K331-1</f>
        <v>0</v>
      </c>
      <c r="M332" s="51">
        <f t="shared" ref="M332" si="660">M331/L331-1</f>
        <v>0</v>
      </c>
      <c r="N332" s="51">
        <f t="shared" ref="N332" si="661">N331/M331-1</f>
        <v>0</v>
      </c>
    </row>
    <row r="333" spans="1:14" x14ac:dyDescent="0.2">
      <c r="A333" s="50" t="s">
        <v>133</v>
      </c>
      <c r="B333" s="61">
        <f>B331/B300</f>
        <v>6.1553985872855703E-2</v>
      </c>
      <c r="C333" s="61">
        <f t="shared" ref="C333:I333" si="662">C331/C300</f>
        <v>6.3938618925831206E-2</v>
      </c>
      <c r="D333" s="61">
        <f t="shared" si="662"/>
        <v>6.1214495592556317E-2</v>
      </c>
      <c r="E333" s="61">
        <f t="shared" si="662"/>
        <v>6.097560975609756E-2</v>
      </c>
      <c r="F333" s="61">
        <f t="shared" si="662"/>
        <v>5.2465897166841552E-2</v>
      </c>
      <c r="G333" s="61">
        <f t="shared" si="662"/>
        <v>4.3336944745395449E-2</v>
      </c>
      <c r="H333" s="61">
        <f t="shared" si="662"/>
        <v>2.8571428571428571E-2</v>
      </c>
      <c r="I333" s="61">
        <f t="shared" si="662"/>
        <v>2.0886615515771527E-2</v>
      </c>
      <c r="J333" s="61">
        <f>I333</f>
        <v>2.0886615515771527E-2</v>
      </c>
      <c r="K333" s="61">
        <f t="shared" ref="K333:N333" si="663">J333</f>
        <v>2.0886615515771527E-2</v>
      </c>
      <c r="L333" s="61">
        <f t="shared" si="663"/>
        <v>2.0886615515771527E-2</v>
      </c>
      <c r="M333" s="61">
        <f t="shared" si="663"/>
        <v>2.0886615515771527E-2</v>
      </c>
      <c r="N333" s="61">
        <f t="shared" si="663"/>
        <v>2.0886615515771527E-2</v>
      </c>
    </row>
    <row r="334" spans="1:14" x14ac:dyDescent="0.2">
      <c r="A334" s="47" t="s">
        <v>164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x14ac:dyDescent="0.2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4">J335*(1+K336)</f>
        <v>-72</v>
      </c>
      <c r="L335">
        <f t="shared" si="664"/>
        <v>-72</v>
      </c>
      <c r="M335">
        <f t="shared" si="664"/>
        <v>-72</v>
      </c>
      <c r="N335">
        <f t="shared" si="664"/>
        <v>-72</v>
      </c>
    </row>
    <row r="336" spans="1:14" x14ac:dyDescent="0.2">
      <c r="A336" s="48" t="s">
        <v>129</v>
      </c>
      <c r="B336" t="s">
        <v>158</v>
      </c>
      <c r="C336" s="61">
        <f>-(C335/B335-1)</f>
        <v>-4.8780487804878092E-2</v>
      </c>
      <c r="D336" s="61">
        <f t="shared" ref="D336:I336" si="665">-(D335/C335-1)</f>
        <v>1.8720930232558139</v>
      </c>
      <c r="E336" s="61">
        <f t="shared" si="665"/>
        <v>0.65333333333333332</v>
      </c>
      <c r="F336" s="61">
        <f t="shared" si="665"/>
        <v>1.2692307692307692</v>
      </c>
      <c r="G336" s="61">
        <f t="shared" si="665"/>
        <v>-0.5714285714285714</v>
      </c>
      <c r="H336" s="61">
        <f t="shared" si="665"/>
        <v>4.6363636363636367</v>
      </c>
      <c r="I336" s="61">
        <f t="shared" si="665"/>
        <v>2.8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</row>
    <row r="337" spans="1:14" x14ac:dyDescent="0.2">
      <c r="A337" s="49" t="s">
        <v>113</v>
      </c>
      <c r="J337">
        <f>I337</f>
        <v>0</v>
      </c>
      <c r="K337">
        <f t="shared" ref="K337:N337" si="666">J337</f>
        <v>0</v>
      </c>
      <c r="L337">
        <f t="shared" si="666"/>
        <v>0</v>
      </c>
      <c r="M337">
        <f t="shared" si="666"/>
        <v>0</v>
      </c>
      <c r="N337">
        <f t="shared" si="666"/>
        <v>0</v>
      </c>
    </row>
    <row r="338" spans="1:14" x14ac:dyDescent="0.2">
      <c r="A338" s="50" t="s">
        <v>129</v>
      </c>
      <c r="J338" s="73">
        <f>J339+J340</f>
        <v>0</v>
      </c>
      <c r="K338" s="73">
        <f t="shared" ref="K338" si="667">K339+K340</f>
        <v>0</v>
      </c>
      <c r="L338" s="73">
        <f t="shared" ref="L338" si="668">L339+L340</f>
        <v>0</v>
      </c>
      <c r="M338" s="73">
        <f t="shared" ref="M338" si="669">M339+M340</f>
        <v>0</v>
      </c>
      <c r="N338" s="73">
        <f t="shared" ref="N338" si="670">N339+N340</f>
        <v>0</v>
      </c>
    </row>
    <row r="339" spans="1:14" x14ac:dyDescent="0.2">
      <c r="A339" s="48" t="s">
        <v>137</v>
      </c>
      <c r="J339" s="56">
        <v>0</v>
      </c>
      <c r="K339" s="56">
        <f t="shared" ref="K339:K340" si="671">+J339</f>
        <v>0</v>
      </c>
      <c r="L339" s="56">
        <f t="shared" ref="L339:L340" si="672">+K339</f>
        <v>0</v>
      </c>
      <c r="M339" s="56">
        <f t="shared" ref="M339:M340" si="673">+L339</f>
        <v>0</v>
      </c>
      <c r="N339" s="56">
        <f t="shared" ref="N339:N340" si="674">+M339</f>
        <v>0</v>
      </c>
    </row>
    <row r="340" spans="1:14" x14ac:dyDescent="0.2">
      <c r="A340" s="48" t="s">
        <v>138</v>
      </c>
      <c r="J340" s="56">
        <v>0</v>
      </c>
      <c r="K340" s="56">
        <f t="shared" si="671"/>
        <v>0</v>
      </c>
      <c r="L340" s="56">
        <f t="shared" si="672"/>
        <v>0</v>
      </c>
      <c r="M340" s="56">
        <f t="shared" si="673"/>
        <v>0</v>
      </c>
      <c r="N340" s="56">
        <f t="shared" si="674"/>
        <v>0</v>
      </c>
    </row>
    <row r="341" spans="1:14" x14ac:dyDescent="0.2">
      <c r="A341" s="49" t="s">
        <v>114</v>
      </c>
      <c r="J341">
        <f>I341</f>
        <v>0</v>
      </c>
      <c r="K341">
        <f t="shared" ref="K341:N341" si="675">J341</f>
        <v>0</v>
      </c>
      <c r="L341">
        <f t="shared" si="675"/>
        <v>0</v>
      </c>
      <c r="M341">
        <f t="shared" si="675"/>
        <v>0</v>
      </c>
      <c r="N341">
        <f t="shared" si="675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76">K343+K344</f>
        <v>0</v>
      </c>
      <c r="L342" s="73">
        <f t="shared" ref="L342" si="677">L343+L344</f>
        <v>0</v>
      </c>
      <c r="M342" s="73">
        <f t="shared" ref="M342" si="678">M343+M344</f>
        <v>0</v>
      </c>
      <c r="N342" s="73">
        <f t="shared" ref="N342" si="679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49" t="s">
        <v>115</v>
      </c>
      <c r="J345">
        <f>I345</f>
        <v>0</v>
      </c>
      <c r="K345">
        <f t="shared" ref="K345:N345" si="680">J345</f>
        <v>0</v>
      </c>
      <c r="L345">
        <f t="shared" si="680"/>
        <v>0</v>
      </c>
      <c r="M345">
        <f t="shared" si="680"/>
        <v>0</v>
      </c>
      <c r="N345">
        <f t="shared" si="680"/>
        <v>0</v>
      </c>
    </row>
    <row r="346" spans="1:14" x14ac:dyDescent="0.2">
      <c r="A346" s="48" t="s">
        <v>129</v>
      </c>
      <c r="J346" s="73">
        <f>J347+J348</f>
        <v>0</v>
      </c>
      <c r="K346" s="73">
        <f t="shared" ref="K346" si="681">K347+K348</f>
        <v>0</v>
      </c>
      <c r="L346" s="73">
        <f t="shared" ref="L346" si="682">L347+L348</f>
        <v>0</v>
      </c>
      <c r="M346" s="73">
        <f t="shared" ref="M346" si="683">M347+M348</f>
        <v>0</v>
      </c>
      <c r="N346" s="73">
        <f t="shared" ref="N346" si="684">N347+N348</f>
        <v>0</v>
      </c>
    </row>
    <row r="347" spans="1:14" x14ac:dyDescent="0.2">
      <c r="A347" s="48" t="s">
        <v>137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</row>
    <row r="348" spans="1:14" x14ac:dyDescent="0.2">
      <c r="A348" s="48" t="s">
        <v>138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</row>
    <row r="349" spans="1:14" x14ac:dyDescent="0.2">
      <c r="A349" s="9" t="s">
        <v>130</v>
      </c>
      <c r="B349">
        <f>B352+B356</f>
        <v>-1022</v>
      </c>
      <c r="C349">
        <f t="shared" ref="C349:I349" si="685">C352+C356</f>
        <v>-1089</v>
      </c>
      <c r="D349">
        <f t="shared" si="685"/>
        <v>-633</v>
      </c>
      <c r="E349">
        <f t="shared" si="685"/>
        <v>-1346</v>
      </c>
      <c r="F349">
        <f t="shared" si="685"/>
        <v>-1694</v>
      </c>
      <c r="G349">
        <f t="shared" si="685"/>
        <v>-1855</v>
      </c>
      <c r="H349">
        <f t="shared" si="685"/>
        <v>-2120</v>
      </c>
      <c r="I349">
        <f t="shared" si="685"/>
        <v>-2085</v>
      </c>
      <c r="J349" s="52">
        <f>+J335*J351</f>
        <v>-2085</v>
      </c>
      <c r="K349" s="52">
        <f t="shared" ref="K349:N349" si="686">+K335*K351</f>
        <v>-2085</v>
      </c>
      <c r="L349" s="52">
        <f t="shared" si="686"/>
        <v>-2085</v>
      </c>
      <c r="M349" s="52">
        <f t="shared" si="686"/>
        <v>-2085</v>
      </c>
      <c r="N349" s="52">
        <f t="shared" si="686"/>
        <v>-2085</v>
      </c>
    </row>
    <row r="350" spans="1:14" x14ac:dyDescent="0.2">
      <c r="A350" s="50" t="s">
        <v>129</v>
      </c>
      <c r="B350" t="s">
        <v>158</v>
      </c>
      <c r="C350" s="61">
        <f>-(C349/B349-1)</f>
        <v>-6.5557729941291498E-2</v>
      </c>
      <c r="D350" s="61">
        <f t="shared" ref="D350:I350" si="687">-(D349/C349-1)</f>
        <v>0.41873278236914602</v>
      </c>
      <c r="E350" s="61">
        <f t="shared" si="687"/>
        <v>-1.126382306477093</v>
      </c>
      <c r="F350" s="61">
        <f t="shared" si="687"/>
        <v>-0.25854383358098065</v>
      </c>
      <c r="G350" s="61">
        <f t="shared" si="687"/>
        <v>-9.5041322314049603E-2</v>
      </c>
      <c r="H350" s="61">
        <f t="shared" si="687"/>
        <v>-0.14285714285714279</v>
      </c>
      <c r="I350" s="61">
        <f t="shared" si="687"/>
        <v>1.650943396226412E-2</v>
      </c>
      <c r="J350" s="75">
        <v>0</v>
      </c>
      <c r="K350" s="75">
        <v>0</v>
      </c>
      <c r="L350" s="75">
        <v>0</v>
      </c>
      <c r="M350" s="75">
        <v>0</v>
      </c>
      <c r="N350" s="75">
        <v>0</v>
      </c>
    </row>
    <row r="351" spans="1:14" x14ac:dyDescent="0.2">
      <c r="A351" s="50" t="s">
        <v>131</v>
      </c>
      <c r="B351" s="61">
        <f>B349/B335</f>
        <v>12.463414634146341</v>
      </c>
      <c r="C351" s="61">
        <f t="shared" ref="C351:I351" si="688">C349/C335</f>
        <v>12.662790697674419</v>
      </c>
      <c r="D351" s="61">
        <f t="shared" si="688"/>
        <v>-8.44</v>
      </c>
      <c r="E351" s="61">
        <f t="shared" si="688"/>
        <v>-51.769230769230766</v>
      </c>
      <c r="F351" s="61">
        <f t="shared" si="688"/>
        <v>242</v>
      </c>
      <c r="G351" s="61">
        <f t="shared" si="688"/>
        <v>168.63636363636363</v>
      </c>
      <c r="H351" s="61">
        <f t="shared" si="688"/>
        <v>-53</v>
      </c>
      <c r="I351" s="61">
        <f t="shared" si="688"/>
        <v>28.958333333333332</v>
      </c>
      <c r="J351" s="62">
        <f>I351</f>
        <v>28.958333333333332</v>
      </c>
      <c r="K351" s="62">
        <f t="shared" ref="K351:N351" si="689">J351</f>
        <v>28.958333333333332</v>
      </c>
      <c r="L351" s="62">
        <f t="shared" si="689"/>
        <v>28.958333333333332</v>
      </c>
      <c r="M351" s="62">
        <f t="shared" si="689"/>
        <v>28.958333333333332</v>
      </c>
      <c r="N351" s="62">
        <f t="shared" si="689"/>
        <v>28.958333333333332</v>
      </c>
    </row>
    <row r="352" spans="1:14" x14ac:dyDescent="0.2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52">
        <f>J355*J362</f>
        <v>134</v>
      </c>
      <c r="K352" s="52">
        <f t="shared" ref="K352:N352" si="690">+K355*K362</f>
        <v>134</v>
      </c>
      <c r="L352" s="52">
        <f t="shared" si="690"/>
        <v>134</v>
      </c>
      <c r="M352" s="52">
        <f t="shared" si="690"/>
        <v>134</v>
      </c>
      <c r="N352" s="52">
        <f t="shared" si="690"/>
        <v>134</v>
      </c>
    </row>
    <row r="353" spans="1:14" x14ac:dyDescent="0.2">
      <c r="A353" s="50" t="s">
        <v>129</v>
      </c>
      <c r="B353" t="s">
        <v>158</v>
      </c>
      <c r="C353" s="61">
        <f>C352/B352-1</f>
        <v>0.12000000000000011</v>
      </c>
      <c r="D353" s="61">
        <f t="shared" ref="D353:I353" si="691">D352/C352-1</f>
        <v>8.3333333333333259E-2</v>
      </c>
      <c r="E353" s="61">
        <f t="shared" si="691"/>
        <v>0.20879120879120872</v>
      </c>
      <c r="F353" s="61">
        <f t="shared" si="691"/>
        <v>5.4545454545454453E-2</v>
      </c>
      <c r="G353" s="61">
        <f t="shared" si="691"/>
        <v>-3.4482758620689613E-2</v>
      </c>
      <c r="H353" s="61">
        <f t="shared" si="691"/>
        <v>0.2589285714285714</v>
      </c>
      <c r="I353" s="61">
        <f t="shared" si="691"/>
        <v>-4.9645390070921946E-2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</row>
    <row r="354" spans="1:14" x14ac:dyDescent="0.2">
      <c r="A354" s="50" t="s">
        <v>133</v>
      </c>
      <c r="B354" s="61">
        <f>B352/B335</f>
        <v>-0.91463414634146345</v>
      </c>
      <c r="C354" s="61">
        <f t="shared" ref="C354:I354" si="692">C352/C335</f>
        <v>-0.97674418604651159</v>
      </c>
      <c r="D354" s="61">
        <f t="shared" si="692"/>
        <v>1.2133333333333334</v>
      </c>
      <c r="E354" s="61">
        <f t="shared" si="692"/>
        <v>4.2307692307692308</v>
      </c>
      <c r="F354" s="61">
        <f t="shared" si="692"/>
        <v>-16.571428571428573</v>
      </c>
      <c r="G354" s="61">
        <f t="shared" si="692"/>
        <v>-10.181818181818182</v>
      </c>
      <c r="H354" s="61">
        <f t="shared" si="692"/>
        <v>3.5249999999999999</v>
      </c>
      <c r="I354" s="61">
        <f t="shared" si="692"/>
        <v>-1.8611111111111112</v>
      </c>
      <c r="J354" s="61">
        <f>I354</f>
        <v>-1.8611111111111112</v>
      </c>
      <c r="K354" s="61">
        <f t="shared" ref="K354:N354" si="693">J354</f>
        <v>-1.8611111111111112</v>
      </c>
      <c r="L354" s="61">
        <f t="shared" si="693"/>
        <v>-1.8611111111111112</v>
      </c>
      <c r="M354" s="61">
        <f t="shared" si="693"/>
        <v>-1.8611111111111112</v>
      </c>
      <c r="N354" s="61">
        <f t="shared" si="693"/>
        <v>-1.8611111111111112</v>
      </c>
    </row>
    <row r="355" spans="1:14" x14ac:dyDescent="0.2">
      <c r="A355" s="50" t="s">
        <v>142</v>
      </c>
      <c r="B355" s="61">
        <f>B352/B362</f>
        <v>0.10518934081346423</v>
      </c>
      <c r="C355" s="61">
        <f t="shared" ref="C355:I355" si="694">C352/C362</f>
        <v>8.9647812166488788E-2</v>
      </c>
      <c r="D355" s="61">
        <f t="shared" si="694"/>
        <v>7.3505654281098551E-2</v>
      </c>
      <c r="E355" s="61">
        <f t="shared" si="694"/>
        <v>7.586206896551724E-2</v>
      </c>
      <c r="F355" s="61">
        <f t="shared" si="694"/>
        <v>6.9336521219366412E-2</v>
      </c>
      <c r="G355" s="61">
        <f t="shared" si="694"/>
        <v>5.845511482254697E-2</v>
      </c>
      <c r="H355" s="61">
        <f t="shared" si="694"/>
        <v>7.5401069518716571E-2</v>
      </c>
      <c r="I355" s="61">
        <f t="shared" si="694"/>
        <v>7.374793615850303E-2</v>
      </c>
      <c r="J355" s="61">
        <f>I355</f>
        <v>7.374793615850303E-2</v>
      </c>
      <c r="K355" s="61">
        <f t="shared" ref="K355:N355" si="695">J355</f>
        <v>7.374793615850303E-2</v>
      </c>
      <c r="L355" s="61">
        <f t="shared" si="695"/>
        <v>7.374793615850303E-2</v>
      </c>
      <c r="M355" s="61">
        <f t="shared" si="695"/>
        <v>7.374793615850303E-2</v>
      </c>
      <c r="N355" s="61">
        <f t="shared" si="695"/>
        <v>7.374793615850303E-2</v>
      </c>
    </row>
    <row r="356" spans="1:14" x14ac:dyDescent="0.2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66">
        <f>J349-J352</f>
        <v>-2219</v>
      </c>
      <c r="K356" s="66">
        <f t="shared" ref="K356:N356" si="696">K349-K352</f>
        <v>-2219</v>
      </c>
      <c r="L356" s="66">
        <f t="shared" si="696"/>
        <v>-2219</v>
      </c>
      <c r="M356" s="66">
        <f t="shared" si="696"/>
        <v>-2219</v>
      </c>
      <c r="N356" s="66">
        <f t="shared" si="696"/>
        <v>-2219</v>
      </c>
    </row>
    <row r="357" spans="1:14" x14ac:dyDescent="0.2">
      <c r="A357" s="50" t="s">
        <v>129</v>
      </c>
      <c r="B357" t="s">
        <v>158</v>
      </c>
      <c r="C357" s="61">
        <f>-(C356/B356-1)</f>
        <v>-6.9279854147675568E-2</v>
      </c>
      <c r="D357" s="61">
        <f t="shared" ref="D357:I357" si="697">-(D356/C356-1)</f>
        <v>0.38277919863597609</v>
      </c>
      <c r="E357" s="61">
        <f t="shared" si="697"/>
        <v>-1.0110497237569063</v>
      </c>
      <c r="F357" s="61">
        <f t="shared" si="697"/>
        <v>-0.24313186813186816</v>
      </c>
      <c r="G357" s="61">
        <f t="shared" si="697"/>
        <v>-8.6740331491712785E-2</v>
      </c>
      <c r="H357" s="61">
        <f t="shared" si="697"/>
        <v>-0.14946619217081847</v>
      </c>
      <c r="I357" s="61">
        <f t="shared" si="697"/>
        <v>1.8575851393188847E-2</v>
      </c>
      <c r="J357" s="51">
        <f t="shared" ref="J357" si="698">+IFERROR(J356/I356-1,"nm")</f>
        <v>0</v>
      </c>
      <c r="K357" s="51">
        <f t="shared" ref="K357" si="699">+IFERROR(K356/J356-1,"nm")</f>
        <v>0</v>
      </c>
      <c r="L357" s="51">
        <f t="shared" ref="L357" si="700">+IFERROR(L356/K356-1,"nm")</f>
        <v>0</v>
      </c>
      <c r="M357" s="51">
        <f t="shared" ref="M357" si="701">+IFERROR(M356/L356-1,"nm")</f>
        <v>0</v>
      </c>
      <c r="N357" s="51">
        <f t="shared" ref="N357" si="702">+IFERROR(N356/M356-1,"nm")</f>
        <v>0</v>
      </c>
    </row>
    <row r="358" spans="1:14" x14ac:dyDescent="0.2">
      <c r="A358" s="50" t="s">
        <v>131</v>
      </c>
      <c r="B358" s="61">
        <f>B356/B335</f>
        <v>13.378048780487806</v>
      </c>
      <c r="C358" s="61">
        <f t="shared" ref="C358:I358" si="703">C356/C335</f>
        <v>13.63953488372093</v>
      </c>
      <c r="D358" s="61">
        <f t="shared" si="703"/>
        <v>-9.6533333333333342</v>
      </c>
      <c r="E358" s="61">
        <f t="shared" si="703"/>
        <v>-56</v>
      </c>
      <c r="F358" s="61">
        <f t="shared" si="703"/>
        <v>258.57142857142856</v>
      </c>
      <c r="G358" s="61">
        <f t="shared" si="703"/>
        <v>178.81818181818181</v>
      </c>
      <c r="H358" s="61">
        <f t="shared" si="703"/>
        <v>-56.524999999999999</v>
      </c>
      <c r="I358" s="61">
        <f t="shared" si="703"/>
        <v>30.819444444444443</v>
      </c>
      <c r="J358" s="61">
        <f>I358</f>
        <v>30.819444444444443</v>
      </c>
      <c r="K358" s="61">
        <f t="shared" ref="K358:N358" si="704">J358</f>
        <v>30.819444444444443</v>
      </c>
      <c r="L358" s="61">
        <f t="shared" si="704"/>
        <v>30.819444444444443</v>
      </c>
      <c r="M358" s="61">
        <f t="shared" si="704"/>
        <v>30.819444444444443</v>
      </c>
      <c r="N358" s="61">
        <f t="shared" si="704"/>
        <v>30.819444444444443</v>
      </c>
    </row>
    <row r="359" spans="1:14" x14ac:dyDescent="0.2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5">K335*K361</f>
        <v>50</v>
      </c>
      <c r="L359">
        <f t="shared" si="705"/>
        <v>50</v>
      </c>
      <c r="M359">
        <f t="shared" si="705"/>
        <v>50</v>
      </c>
      <c r="N359">
        <f t="shared" si="705"/>
        <v>50</v>
      </c>
    </row>
    <row r="360" spans="1:14" x14ac:dyDescent="0.2">
      <c r="A360" s="50" t="s">
        <v>129</v>
      </c>
      <c r="B360" t="s">
        <v>158</v>
      </c>
      <c r="C360" s="61">
        <f>C359/B359-1</f>
        <v>0.18691588785046731</v>
      </c>
      <c r="D360" s="61">
        <f t="shared" ref="D360:I360" si="706">D359/C359-1</f>
        <v>-3.3245844269466307E-2</v>
      </c>
      <c r="E360" s="61">
        <f t="shared" si="706"/>
        <v>-0.85610859728506794</v>
      </c>
      <c r="F360" s="61">
        <f t="shared" si="706"/>
        <v>1.3710691823899372</v>
      </c>
      <c r="G360" s="61">
        <f t="shared" si="706"/>
        <v>-0.156498673740053</v>
      </c>
      <c r="H360" s="61">
        <f t="shared" si="706"/>
        <v>-0.96540880503144655</v>
      </c>
      <c r="I360" s="61">
        <f t="shared" si="706"/>
        <v>3.5454545454545459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</row>
    <row r="361" spans="1:14" x14ac:dyDescent="0.2">
      <c r="A361" s="50" t="s">
        <v>133</v>
      </c>
      <c r="B361" s="61">
        <f>B359/B335</f>
        <v>-11.74390243902439</v>
      </c>
      <c r="C361" s="61">
        <f t="shared" ref="C361:I361" si="707">C359/C335</f>
        <v>-13.290697674418604</v>
      </c>
      <c r="D361" s="61">
        <f t="shared" si="707"/>
        <v>14.733333333333333</v>
      </c>
      <c r="E361" s="61">
        <f t="shared" si="707"/>
        <v>6.115384615384615</v>
      </c>
      <c r="F361" s="61">
        <f t="shared" si="707"/>
        <v>-53.857142857142854</v>
      </c>
      <c r="G361" s="61">
        <f t="shared" si="707"/>
        <v>-28.90909090909091</v>
      </c>
      <c r="H361" s="61">
        <f t="shared" si="707"/>
        <v>0.27500000000000002</v>
      </c>
      <c r="I361" s="61">
        <f t="shared" si="707"/>
        <v>-0.69444444444444442</v>
      </c>
      <c r="J361" s="61">
        <f>I361</f>
        <v>-0.69444444444444442</v>
      </c>
      <c r="K361" s="61">
        <f t="shared" ref="K361:N361" si="708">J361</f>
        <v>-0.69444444444444442</v>
      </c>
      <c r="L361" s="61">
        <f t="shared" si="708"/>
        <v>-0.69444444444444442</v>
      </c>
      <c r="M361" s="61">
        <f t="shared" si="708"/>
        <v>-0.69444444444444442</v>
      </c>
      <c r="N361" s="61">
        <f t="shared" si="708"/>
        <v>-0.69444444444444442</v>
      </c>
    </row>
    <row r="362" spans="1:14" x14ac:dyDescent="0.2">
      <c r="A362" s="68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9">K335*K364</f>
        <v>1817</v>
      </c>
      <c r="L362">
        <f t="shared" si="709"/>
        <v>1817</v>
      </c>
      <c r="M362">
        <f t="shared" si="709"/>
        <v>1817</v>
      </c>
      <c r="N362">
        <f t="shared" si="709"/>
        <v>1817</v>
      </c>
    </row>
    <row r="363" spans="1:14" x14ac:dyDescent="0.2">
      <c r="A363" s="50" t="s">
        <v>129</v>
      </c>
      <c r="B363" t="s">
        <v>158</v>
      </c>
      <c r="C363" s="61">
        <f>C362/B362-1</f>
        <v>0.31416549789621318</v>
      </c>
      <c r="D363" s="61">
        <f t="shared" ref="D363:I363" si="710">D362/C362-1</f>
        <v>0.32123799359658478</v>
      </c>
      <c r="E363" s="61">
        <f t="shared" si="710"/>
        <v>0.17124394184168024</v>
      </c>
      <c r="F363" s="61">
        <f t="shared" si="710"/>
        <v>0.15379310344827579</v>
      </c>
      <c r="G363" s="61">
        <f t="shared" si="710"/>
        <v>0.14524805738194857</v>
      </c>
      <c r="H363" s="61">
        <f t="shared" si="710"/>
        <v>-2.4008350730688965E-2</v>
      </c>
      <c r="I363" s="61">
        <f t="shared" si="710"/>
        <v>-2.8342245989304793E-2</v>
      </c>
      <c r="J363" s="51">
        <f>J362/I362-1</f>
        <v>0</v>
      </c>
      <c r="K363" s="51">
        <f t="shared" ref="K363" si="711">K362/J362-1</f>
        <v>0</v>
      </c>
      <c r="L363" s="51">
        <f t="shared" ref="L363" si="712">L362/K362-1</f>
        <v>0</v>
      </c>
      <c r="M363" s="51">
        <f t="shared" ref="M363" si="713">M362/L362-1</f>
        <v>0</v>
      </c>
      <c r="N363" s="51">
        <f t="shared" ref="N363" si="714">N362/M362-1</f>
        <v>0</v>
      </c>
    </row>
    <row r="364" spans="1:14" x14ac:dyDescent="0.2">
      <c r="A364" s="50" t="s">
        <v>133</v>
      </c>
      <c r="B364" s="61">
        <f>B362/B335</f>
        <v>-8.6951219512195124</v>
      </c>
      <c r="C364" s="61">
        <f t="shared" ref="C364:I364" si="715">C362/C335</f>
        <v>-10.895348837209303</v>
      </c>
      <c r="D364" s="61">
        <f t="shared" si="715"/>
        <v>16.506666666666668</v>
      </c>
      <c r="E364" s="61">
        <f t="shared" si="715"/>
        <v>55.769230769230766</v>
      </c>
      <c r="F364" s="61">
        <f t="shared" si="715"/>
        <v>-239</v>
      </c>
      <c r="G364" s="61">
        <f t="shared" si="715"/>
        <v>-174.18181818181819</v>
      </c>
      <c r="H364" s="61">
        <f t="shared" si="715"/>
        <v>46.75</v>
      </c>
      <c r="I364" s="61">
        <f t="shared" si="715"/>
        <v>-25.236111111111111</v>
      </c>
      <c r="J364" s="61">
        <f>I364</f>
        <v>-25.236111111111111</v>
      </c>
      <c r="K364" s="61">
        <f t="shared" ref="K364:N364" si="716">J364</f>
        <v>-25.236111111111111</v>
      </c>
      <c r="L364" s="61">
        <f t="shared" si="716"/>
        <v>-25.236111111111111</v>
      </c>
      <c r="M364" s="61">
        <f t="shared" si="716"/>
        <v>-25.236111111111111</v>
      </c>
      <c r="N364" s="61">
        <f t="shared" si="716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39" zoomScale="90" zoomScaleNormal="90" workbookViewId="0">
      <selection activeCell="B67" sqref="B67:I67"/>
    </sheetView>
  </sheetViews>
  <sheetFormatPr baseColWidth="10" defaultColWidth="11.5" defaultRowHeight="15" x14ac:dyDescent="0.2"/>
  <cols>
    <col min="1" max="1" width="40.6640625" customWidth="1"/>
    <col min="2" max="2" width="12" customWidth="1"/>
  </cols>
  <sheetData>
    <row r="1" spans="1:15" ht="59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">
      <c r="A2" s="44" t="s">
        <v>165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5" x14ac:dyDescent="0.2">
      <c r="A4" s="46" t="s">
        <v>129</v>
      </c>
      <c r="B4" s="79" t="str">
        <f>'Segmental forecast'!B4</f>
        <v>nm</v>
      </c>
      <c r="C4" s="79">
        <f>'Segmental forecast'!C4</f>
        <v>5.8004640371229765E-2</v>
      </c>
      <c r="D4" s="79">
        <f>'Segmental forecast'!D4</f>
        <v>6.0971089696071123E-2</v>
      </c>
      <c r="E4" s="79">
        <f>'Segmental forecast'!E4</f>
        <v>5.95924308588065E-2</v>
      </c>
      <c r="F4" s="79">
        <f>'Segmental forecast'!F4</f>
        <v>7.4731433909388079E-2</v>
      </c>
      <c r="G4" s="79">
        <f>'Segmental forecast'!G4</f>
        <v>-4.3817266150267153E-2</v>
      </c>
      <c r="H4" s="79">
        <f>'Segmental forecast'!H4</f>
        <v>0.19076009945726269</v>
      </c>
      <c r="I4" s="79">
        <f>'Segmental forecast'!I4</f>
        <v>4.8767344739323759E-2</v>
      </c>
      <c r="J4" s="79">
        <f>'Segmental forecast'!J4</f>
        <v>0</v>
      </c>
      <c r="K4" s="79">
        <f>'Segmental forecast'!K4</f>
        <v>0</v>
      </c>
      <c r="L4" s="79">
        <f>'Segmental forecast'!L4</f>
        <v>0</v>
      </c>
      <c r="M4" s="79">
        <f>'Segmental forecast'!M4</f>
        <v>0</v>
      </c>
      <c r="N4" s="79">
        <f>'Segmental forecast'!N4</f>
        <v>0</v>
      </c>
    </row>
    <row r="5" spans="1:15" x14ac:dyDescent="0.2">
      <c r="A5" s="1" t="s">
        <v>166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7843</v>
      </c>
      <c r="I5" s="9">
        <f>'Segmental forecast'!I5</f>
        <v>7752</v>
      </c>
      <c r="J5" s="9">
        <f>'Segmental forecast'!J5</f>
        <v>7752</v>
      </c>
      <c r="K5" s="9">
        <f>'Segmental forecast'!K5</f>
        <v>7752</v>
      </c>
      <c r="L5" s="9">
        <f>'Segmental forecast'!L5</f>
        <v>7752</v>
      </c>
      <c r="M5" s="9">
        <f>'Segmental forecast'!M5</f>
        <v>7752</v>
      </c>
      <c r="N5" s="9">
        <f>'Segmental forecast'!N5</f>
        <v>7752</v>
      </c>
    </row>
    <row r="6" spans="1:15" x14ac:dyDescent="0.2">
      <c r="A6" s="80" t="s">
        <v>132</v>
      </c>
      <c r="B6" s="81">
        <f>'Segmental forecast'!B8</f>
        <v>606</v>
      </c>
      <c r="C6" s="81">
        <f>'Segmental forecast'!C8</f>
        <v>649</v>
      </c>
      <c r="D6" s="81">
        <f>'Segmental forecast'!D8</f>
        <v>706</v>
      </c>
      <c r="E6" s="81">
        <f>'Segmental forecast'!E8</f>
        <v>747</v>
      </c>
      <c r="F6" s="81">
        <f>'Segmental forecast'!F8</f>
        <v>705</v>
      </c>
      <c r="G6" s="81">
        <f>'Segmental forecast'!G8</f>
        <v>721</v>
      </c>
      <c r="H6" s="81">
        <f>'Segmental forecast'!H8</f>
        <v>920</v>
      </c>
      <c r="I6" s="81">
        <f>'Segmental forecast'!I8</f>
        <v>896</v>
      </c>
      <c r="J6" s="81">
        <f>'Segmental forecast'!J8</f>
        <v>896</v>
      </c>
      <c r="K6" s="81">
        <f>'Segmental forecast'!K8</f>
        <v>896</v>
      </c>
      <c r="L6" s="81">
        <f>'Segmental forecast'!L8</f>
        <v>896</v>
      </c>
      <c r="M6" s="81">
        <f>'Segmental forecast'!M8</f>
        <v>896</v>
      </c>
      <c r="N6" s="81">
        <f>'Segmental forecast'!N8</f>
        <v>896</v>
      </c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5" x14ac:dyDescent="0.2">
      <c r="A8" s="46" t="s">
        <v>129</v>
      </c>
      <c r="B8" s="79" t="str">
        <f>'Segmental forecast'!B12</f>
        <v>nm</v>
      </c>
      <c r="C8" s="79">
        <f>'Segmental forecast'!C12</f>
        <v>9.6621781242617555E-2</v>
      </c>
      <c r="D8" s="79">
        <f>'Segmental forecast'!D12</f>
        <v>6.5273588970271357E-2</v>
      </c>
      <c r="E8" s="79">
        <f>'Segmental forecast'!E12</f>
        <v>-0.11445904954499497</v>
      </c>
      <c r="F8" s="79">
        <f>'Segmental forecast'!F12</f>
        <v>0.10755880337976698</v>
      </c>
      <c r="G8" s="79">
        <f>'Segmental forecast'!G12</f>
        <v>-0.38639175257731961</v>
      </c>
      <c r="H8" s="79">
        <f>'Segmental forecast'!H12</f>
        <v>1.32627688172043</v>
      </c>
      <c r="I8" s="79">
        <f>'Segmental forecast'!I12</f>
        <v>-9.67788530983682E-3</v>
      </c>
      <c r="J8" s="79">
        <f>'Segmental forecast'!J12</f>
        <v>0</v>
      </c>
      <c r="K8" s="79">
        <f>'Segmental forecast'!K12</f>
        <v>0</v>
      </c>
      <c r="L8" s="79">
        <f>'Segmental forecast'!L12</f>
        <v>0</v>
      </c>
      <c r="M8" s="79">
        <f>'Segmental forecast'!M12</f>
        <v>0</v>
      </c>
      <c r="N8" s="79">
        <f>'Segmental forecast'!N12</f>
        <v>0</v>
      </c>
    </row>
    <row r="9" spans="1:15" x14ac:dyDescent="0.2">
      <c r="A9" s="46" t="s">
        <v>131</v>
      </c>
      <c r="B9" s="79">
        <f>'Segmental forecast'!B13</f>
        <v>0.13832881278389594</v>
      </c>
      <c r="C9" s="79">
        <f>'Segmental forecast'!C13</f>
        <v>0.14337781072399308</v>
      </c>
      <c r="D9" s="79">
        <f>'Segmental forecast'!D13</f>
        <v>0.14395924308588065</v>
      </c>
      <c r="E9" s="79">
        <f>'Segmental forecast'!E13</f>
        <v>0.12031211363573921</v>
      </c>
      <c r="F9" s="79">
        <f>'Segmental forecast'!F13</f>
        <v>0.12398701331901731</v>
      </c>
      <c r="G9" s="79">
        <f>'Segmental forecast'!G13</f>
        <v>7.9565810229126011E-2</v>
      </c>
      <c r="H9" s="79">
        <f>'Segmental forecast'!H13</f>
        <v>0.1554402981723472</v>
      </c>
      <c r="I9" s="79">
        <f>'Segmental forecast'!I13</f>
        <v>0.14677799186469706</v>
      </c>
      <c r="J9" s="79">
        <f>'Segmental forecast'!J13</f>
        <v>0.14677799186469706</v>
      </c>
      <c r="K9" s="79">
        <f>'Segmental forecast'!K13</f>
        <v>0.14677799186469706</v>
      </c>
      <c r="L9" s="79">
        <f>'Segmental forecast'!L13</f>
        <v>0.14677799186469706</v>
      </c>
      <c r="M9" s="79">
        <f>'Segmental forecast'!M13</f>
        <v>0.14677799186469706</v>
      </c>
      <c r="N9" s="79">
        <f>'Segmental forecast'!N13</f>
        <v>0.14677799186469706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2">J10</f>
        <v>205</v>
      </c>
      <c r="L10" s="3">
        <f t="shared" si="2"/>
        <v>205</v>
      </c>
      <c r="M10" s="3">
        <f t="shared" si="2"/>
        <v>205</v>
      </c>
      <c r="N10" s="3">
        <f t="shared" si="2"/>
        <v>205</v>
      </c>
    </row>
    <row r="11" spans="1:15" x14ac:dyDescent="0.2">
      <c r="A11" s="4" t="s">
        <v>167</v>
      </c>
      <c r="B11" s="5">
        <f>B7-B10</f>
        <v>4205</v>
      </c>
      <c r="C11" s="5">
        <f t="shared" ref="C11:N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>
        <f t="shared" si="3"/>
        <v>6651</v>
      </c>
      <c r="K11" s="5">
        <f t="shared" si="3"/>
        <v>6651</v>
      </c>
      <c r="L11" s="5">
        <f t="shared" si="3"/>
        <v>6651</v>
      </c>
      <c r="M11" s="5">
        <f t="shared" si="3"/>
        <v>6651</v>
      </c>
      <c r="N11" s="5">
        <f t="shared" si="3"/>
        <v>6651</v>
      </c>
      <c r="O11" t="s">
        <v>214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I12</f>
        <v>605</v>
      </c>
      <c r="K12" s="3">
        <f t="shared" ref="K12:N12" si="4">J12</f>
        <v>605</v>
      </c>
      <c r="L12" s="3">
        <f t="shared" si="4"/>
        <v>605</v>
      </c>
      <c r="M12" s="3">
        <f t="shared" si="4"/>
        <v>605</v>
      </c>
      <c r="N12" s="3">
        <f t="shared" si="4"/>
        <v>605</v>
      </c>
      <c r="O12" t="s">
        <v>216</v>
      </c>
    </row>
    <row r="13" spans="1:15" x14ac:dyDescent="0.2">
      <c r="A13" s="82" t="s">
        <v>168</v>
      </c>
      <c r="B13" s="83">
        <f>B12/B11</f>
        <v>0.22164090368608799</v>
      </c>
      <c r="C13" s="83">
        <f t="shared" ref="C13:I13" si="5">C12/C11</f>
        <v>0.18667531905688947</v>
      </c>
      <c r="D13" s="83">
        <f t="shared" si="5"/>
        <v>0.13221449038067951</v>
      </c>
      <c r="E13" s="83">
        <f t="shared" si="5"/>
        <v>0.55306358381502885</v>
      </c>
      <c r="F13" s="83">
        <f t="shared" si="5"/>
        <v>0.16079983336804832</v>
      </c>
      <c r="G13" s="83">
        <f t="shared" si="5"/>
        <v>0.12054035330793211</v>
      </c>
      <c r="H13" s="83">
        <f t="shared" si="5"/>
        <v>0.14021918630836211</v>
      </c>
      <c r="I13" s="83">
        <f t="shared" si="5"/>
        <v>9.0963764847391368E-2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</row>
    <row r="14" spans="1:15" ht="16" thickBot="1" x14ac:dyDescent="0.25">
      <c r="A14" s="6" t="s">
        <v>169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>
        <f>J11-J12</f>
        <v>6046</v>
      </c>
      <c r="K14" s="7">
        <f t="shared" ref="K14:N14" si="7">K11-K12</f>
        <v>6046</v>
      </c>
      <c r="L14" s="7">
        <f t="shared" si="7"/>
        <v>6046</v>
      </c>
      <c r="M14" s="7">
        <f t="shared" si="7"/>
        <v>6046</v>
      </c>
      <c r="N14" s="7">
        <f t="shared" si="7"/>
        <v>6046</v>
      </c>
      <c r="O14" t="s">
        <v>215</v>
      </c>
    </row>
    <row r="15" spans="1:15" ht="16" thickTop="1" x14ac:dyDescent="0.2">
      <c r="A15" t="s">
        <v>170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1610.8</v>
      </c>
      <c r="K15" s="3">
        <f t="shared" ref="K15:N15" si="8">J15*(1+K18)</f>
        <v>1610.8</v>
      </c>
      <c r="L15" s="3">
        <f t="shared" si="8"/>
        <v>1610.8</v>
      </c>
      <c r="M15" s="3">
        <f t="shared" si="8"/>
        <v>1610.8</v>
      </c>
      <c r="N15" s="3">
        <f t="shared" si="8"/>
        <v>1610.8</v>
      </c>
    </row>
    <row r="16" spans="1:15" x14ac:dyDescent="0.2">
      <c r="A16" t="s">
        <v>171</v>
      </c>
      <c r="B16" s="85">
        <f>B14/B15</f>
        <v>1.8504070556309362</v>
      </c>
      <c r="C16" s="85">
        <f t="shared" ref="C16:I16" si="9">C14/C15</f>
        <v>2.1578192252510759</v>
      </c>
      <c r="D16" s="85">
        <f t="shared" si="9"/>
        <v>2.5059101654846336</v>
      </c>
      <c r="E16" s="85">
        <f t="shared" si="9"/>
        <v>1.165159734779988</v>
      </c>
      <c r="F16" s="85">
        <f t="shared" si="9"/>
        <v>2.4901112484548826</v>
      </c>
      <c r="G16" s="85">
        <f t="shared" si="9"/>
        <v>1.5952500628298569</v>
      </c>
      <c r="H16" s="85">
        <f t="shared" si="9"/>
        <v>3.5584689946563937</v>
      </c>
      <c r="I16" s="85">
        <f t="shared" si="9"/>
        <v>3.7534144524459898</v>
      </c>
      <c r="J16" s="85">
        <f>I16*(1+J18)</f>
        <v>3.7534144524459898</v>
      </c>
      <c r="K16" s="85">
        <f t="shared" ref="K16:N16" si="10">J16*(1+K18)</f>
        <v>3.7534144524459898</v>
      </c>
      <c r="L16" s="85">
        <f t="shared" si="10"/>
        <v>3.7534144524459898</v>
      </c>
      <c r="M16" s="85">
        <f t="shared" si="10"/>
        <v>3.7534144524459898</v>
      </c>
      <c r="N16" s="85">
        <f t="shared" si="10"/>
        <v>3.7534144524459898</v>
      </c>
    </row>
    <row r="17" spans="1:15" x14ac:dyDescent="0.2">
      <c r="A17" t="s">
        <v>172</v>
      </c>
      <c r="B17" s="85">
        <f>Historicals!B95/B15</f>
        <v>-0.508254183627318</v>
      </c>
      <c r="C17" s="85">
        <f>Historicals!C95/C15</f>
        <v>-0.58651362984218081</v>
      </c>
      <c r="D17" s="85">
        <f>Historicals!D95/D15</f>
        <v>-0.66962174940898345</v>
      </c>
      <c r="E17" s="85">
        <f>Historicals!E95/E15</f>
        <v>-0.74924653405666064</v>
      </c>
      <c r="F17" s="85">
        <f>Historicals!F95/F15</f>
        <v>-0.82323856613102597</v>
      </c>
      <c r="G17" s="85">
        <f>Historicals!G95/G15</f>
        <v>-0.91228951997989449</v>
      </c>
      <c r="H17" s="85">
        <f>Historicals!H95/H15</f>
        <v>-1.0177705977382876</v>
      </c>
      <c r="I17" s="85">
        <f>Historicals!I95/I15</f>
        <v>-1.1404271169605165</v>
      </c>
      <c r="J17" s="85">
        <f>I17*(1+J18)</f>
        <v>-1.1404271169605165</v>
      </c>
      <c r="K17" s="85">
        <f t="shared" ref="K17:N17" si="11">J17*(1+K18)</f>
        <v>-1.1404271169605165</v>
      </c>
      <c r="L17" s="85">
        <f t="shared" si="11"/>
        <v>-1.1404271169605165</v>
      </c>
      <c r="M17" s="85">
        <f t="shared" si="11"/>
        <v>-1.1404271169605165</v>
      </c>
      <c r="N17" s="85">
        <f t="shared" si="11"/>
        <v>-1.1404271169605165</v>
      </c>
    </row>
    <row r="18" spans="1:15" x14ac:dyDescent="0.2">
      <c r="A18" s="82" t="s">
        <v>129</v>
      </c>
      <c r="B18" s="83" t="s">
        <v>158</v>
      </c>
      <c r="C18" s="83">
        <f>-(C17/B17-1)</f>
        <v>-0.15397698383186809</v>
      </c>
      <c r="D18" s="83">
        <f t="shared" ref="D18:I18" si="12">-(D17/C17-1)</f>
        <v>-0.14169853067040461</v>
      </c>
      <c r="E18" s="83">
        <f t="shared" si="12"/>
        <v>-0.11891009322495139</v>
      </c>
      <c r="F18" s="83">
        <f t="shared" si="12"/>
        <v>-9.8755254393702474E-2</v>
      </c>
      <c r="G18" s="83">
        <f t="shared" si="12"/>
        <v>-0.10817150399960163</v>
      </c>
      <c r="H18" s="83">
        <f t="shared" si="12"/>
        <v>-0.11562237146023313</v>
      </c>
      <c r="I18" s="83">
        <f t="shared" si="12"/>
        <v>-0.12051489745803123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</row>
    <row r="19" spans="1:15" x14ac:dyDescent="0.2">
      <c r="A19" s="82" t="s">
        <v>173</v>
      </c>
      <c r="B19" s="83">
        <f>B17/B16</f>
        <v>-0.27467155514818214</v>
      </c>
      <c r="C19" s="83">
        <f t="shared" ref="C19:I19" si="13">C17/C16</f>
        <v>-0.27180851063829792</v>
      </c>
      <c r="D19" s="83">
        <f t="shared" si="13"/>
        <v>-0.26721698113207548</v>
      </c>
      <c r="E19" s="83">
        <f t="shared" si="13"/>
        <v>-0.64304190377651316</v>
      </c>
      <c r="F19" s="83">
        <f t="shared" si="13"/>
        <v>-0.33060312732688013</v>
      </c>
      <c r="G19" s="83">
        <f t="shared" si="13"/>
        <v>-0.57187869239858213</v>
      </c>
      <c r="H19" s="83">
        <f t="shared" si="13"/>
        <v>-0.286013619696176</v>
      </c>
      <c r="I19" s="83">
        <f t="shared" si="13"/>
        <v>-0.30383724776711873</v>
      </c>
      <c r="J19" s="83"/>
      <c r="K19" s="83"/>
      <c r="L19" s="83"/>
      <c r="M19" s="83"/>
      <c r="N19" s="83"/>
    </row>
    <row r="20" spans="1:15" x14ac:dyDescent="0.2">
      <c r="A20" s="86" t="s">
        <v>174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">
      <c r="A21" t="s">
        <v>175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">
      <c r="A22" t="s">
        <v>176</v>
      </c>
      <c r="B22" s="3">
        <f>Historicals!B59</f>
        <v>21597</v>
      </c>
      <c r="C22" s="3">
        <f>Historicals!C59</f>
        <v>21396</v>
      </c>
      <c r="D22" s="3">
        <f>Historicals!D59</f>
        <v>23259</v>
      </c>
      <c r="E22" s="3">
        <f>Historicals!E59</f>
        <v>22536</v>
      </c>
      <c r="F22" s="3">
        <f>Historicals!F59</f>
        <v>23717</v>
      </c>
      <c r="G22" s="3">
        <f>Historicals!G59</f>
        <v>31342</v>
      </c>
      <c r="H22" s="3">
        <f>Historicals!H59</f>
        <v>37740</v>
      </c>
      <c r="I22" s="3">
        <f>Historicals!I59</f>
        <v>40321</v>
      </c>
      <c r="J22" s="3"/>
      <c r="K22" s="3"/>
      <c r="L22" s="3"/>
      <c r="M22" s="3"/>
      <c r="N22" s="3"/>
    </row>
    <row r="23" spans="1:15" x14ac:dyDescent="0.2">
      <c r="A23" t="s">
        <v>177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I23*(1+J24)</f>
        <v>9729</v>
      </c>
      <c r="K23" s="3">
        <f t="shared" ref="K23:N23" si="14">J23*(1+K24)</f>
        <v>9729</v>
      </c>
      <c r="L23" s="3">
        <f t="shared" si="14"/>
        <v>9729</v>
      </c>
      <c r="M23" s="3">
        <f t="shared" si="14"/>
        <v>9729</v>
      </c>
      <c r="N23" s="3">
        <f t="shared" si="14"/>
        <v>9729</v>
      </c>
    </row>
    <row r="24" spans="1:15" x14ac:dyDescent="0.2">
      <c r="A24" s="82" t="s">
        <v>178</v>
      </c>
      <c r="B24" s="83">
        <f>B23/B3</f>
        <v>0.18182412339466031</v>
      </c>
      <c r="C24" s="83">
        <f t="shared" ref="C24:I24" si="15">C23/C3</f>
        <v>0.1818631084754139</v>
      </c>
      <c r="D24" s="83">
        <f t="shared" si="15"/>
        <v>0.19458515283842795</v>
      </c>
      <c r="E24" s="83">
        <f t="shared" si="15"/>
        <v>0.17803665137236585</v>
      </c>
      <c r="F24" s="83">
        <f t="shared" si="15"/>
        <v>0.18615947030702765</v>
      </c>
      <c r="G24" s="83">
        <f t="shared" si="15"/>
        <v>0.21035745795791783</v>
      </c>
      <c r="H24" s="83">
        <f t="shared" si="15"/>
        <v>0.19042166240064665</v>
      </c>
      <c r="I24" s="83">
        <f t="shared" si="15"/>
        <v>0.20828516377649325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</row>
    <row r="25" spans="1:15" x14ac:dyDescent="0.2">
      <c r="A25" t="s">
        <v>179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2">
      <c r="A26" t="s">
        <v>180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">
      <c r="A27" t="s">
        <v>181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">
      <c r="A29" s="8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">
      <c r="A30" t="s">
        <v>182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6" thickBot="1" x14ac:dyDescent="0.25">
      <c r="A31" s="6" t="s">
        <v>183</v>
      </c>
      <c r="B31" s="7">
        <f>B21+B23+B25+B26+B27+B28+B29+B30</f>
        <v>17394</v>
      </c>
      <c r="C31" s="7">
        <f t="shared" ref="C31:I31" si="16">C21+C23+C25+C26+C27+C28+C29+C30</f>
        <v>16886</v>
      </c>
      <c r="D31" s="7">
        <f t="shared" si="16"/>
        <v>18840</v>
      </c>
      <c r="E31" s="7">
        <f t="shared" si="16"/>
        <v>19261</v>
      </c>
      <c r="F31" s="7">
        <f t="shared" si="16"/>
        <v>20908</v>
      </c>
      <c r="G31" s="7">
        <f t="shared" si="16"/>
        <v>28655</v>
      </c>
      <c r="H31" s="7">
        <f t="shared" si="16"/>
        <v>31317</v>
      </c>
      <c r="I31" s="7">
        <f t="shared" si="16"/>
        <v>32540</v>
      </c>
      <c r="J31" s="7"/>
      <c r="K31" s="7"/>
      <c r="L31" s="7"/>
      <c r="M31" s="7"/>
      <c r="N31" s="7"/>
      <c r="O31" t="s">
        <v>217</v>
      </c>
    </row>
    <row r="32" spans="1:15" ht="16" thickTop="1" x14ac:dyDescent="0.2">
      <c r="A32" t="s">
        <v>184</v>
      </c>
      <c r="B32" s="3">
        <f>B34+B33+B35+B36+B37+B38</f>
        <v>8890</v>
      </c>
      <c r="C32" s="3">
        <f t="shared" ref="C32:I32" si="17">C34+C33+C35+C36+C37+C38</f>
        <v>9138</v>
      </c>
      <c r="D32" s="3">
        <f t="shared" si="17"/>
        <v>10852</v>
      </c>
      <c r="E32" s="3">
        <f t="shared" si="17"/>
        <v>12724</v>
      </c>
      <c r="F32" s="3">
        <f t="shared" si="17"/>
        <v>14677</v>
      </c>
      <c r="G32" s="3">
        <f t="shared" si="17"/>
        <v>23287</v>
      </c>
      <c r="H32" s="3">
        <f t="shared" si="17"/>
        <v>24973</v>
      </c>
      <c r="I32" s="3">
        <f t="shared" si="17"/>
        <v>25040</v>
      </c>
      <c r="J32" s="3"/>
      <c r="K32" s="3"/>
      <c r="L32" s="3"/>
      <c r="M32" s="3"/>
      <c r="N32" s="3"/>
      <c r="O32" t="s">
        <v>218</v>
      </c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">
      <c r="A35" t="s">
        <v>185</v>
      </c>
      <c r="B35" s="3">
        <f>Historicals!B45-Historicals!B39-Historicals!B40</f>
        <v>6151</v>
      </c>
      <c r="C35" s="3">
        <f>Historicals!C45-Historicals!C39-Historicals!C40</f>
        <v>5313</v>
      </c>
      <c r="D35" s="3">
        <f>Historicals!D45-Historicals!D39-Historicals!D40</f>
        <v>5143</v>
      </c>
      <c r="E35" s="3">
        <f>Historicals!E45-Historicals!E39-Historicals!E40</f>
        <v>5698</v>
      </c>
      <c r="F35" s="3">
        <f>Historicals!F45-Historicals!F39-Historicals!F40</f>
        <v>7851</v>
      </c>
      <c r="G35" s="3">
        <f>Historicals!G45-Historicals!G39-Historicals!G40</f>
        <v>8033</v>
      </c>
      <c r="H35" s="3">
        <f>Historicals!H45-Historicals!H39-Historicals!H40</f>
        <v>9672</v>
      </c>
      <c r="I35" s="3">
        <f>Historicals!I45-Historicals!I39-Historicals!I40</f>
        <v>10220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">
      <c r="A37" s="8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">
      <c r="A38" t="s">
        <v>186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">
      <c r="A39" t="s">
        <v>187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2" t="s">
        <v>188</v>
      </c>
      <c r="B40" s="3">
        <f>Historicals!B53+Historicals!B54+Historicals!B55</f>
        <v>6776</v>
      </c>
      <c r="C40" s="3">
        <f>Historicals!C53+Historicals!C54+Historicals!C55</f>
        <v>7789</v>
      </c>
      <c r="D40" s="3">
        <f>Historicals!D53+Historicals!D54+Historicals!D55</f>
        <v>8641</v>
      </c>
      <c r="E40" s="3">
        <f>Historicals!E53+Historicals!E54+Historicals!E55</f>
        <v>6387</v>
      </c>
      <c r="F40" s="3">
        <f>Historicals!F53+Historicals!F54+Historicals!F55</f>
        <v>7166</v>
      </c>
      <c r="G40" s="3">
        <f>Historicals!G53+Historicals!G54+Historicals!G55</f>
        <v>8302</v>
      </c>
      <c r="H40" s="3">
        <f>Historicals!H53+Historicals!H54+Historicals!H55</f>
        <v>9968</v>
      </c>
      <c r="I40" s="3">
        <f>Historicals!I53+Historicals!I54+Historicals!I55</f>
        <v>11487</v>
      </c>
      <c r="J40" s="3"/>
      <c r="K40" s="3"/>
      <c r="L40" s="3"/>
      <c r="M40" s="3"/>
      <c r="N40" s="3"/>
    </row>
    <row r="41" spans="1:14" x14ac:dyDescent="0.2">
      <c r="A41" s="2" t="s">
        <v>189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">
      <c r="A42" s="2" t="s">
        <v>190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</row>
    <row r="43" spans="1:14" ht="16" thickBot="1" x14ac:dyDescent="0.25">
      <c r="A43" s="6" t="s">
        <v>191</v>
      </c>
      <c r="B43" s="7">
        <f>SUM(B33:B42)</f>
        <v>21597</v>
      </c>
      <c r="C43" s="7">
        <f t="shared" ref="C43:I43" si="18">SUM(C33:C42)</f>
        <v>21396</v>
      </c>
      <c r="D43" s="7">
        <f t="shared" si="18"/>
        <v>23259</v>
      </c>
      <c r="E43" s="7">
        <f t="shared" si="18"/>
        <v>22536</v>
      </c>
      <c r="F43" s="7">
        <f t="shared" si="18"/>
        <v>23717</v>
      </c>
      <c r="G43" s="7">
        <f t="shared" si="18"/>
        <v>31342</v>
      </c>
      <c r="H43" s="7">
        <f t="shared" si="18"/>
        <v>37740</v>
      </c>
      <c r="I43" s="7">
        <f t="shared" si="18"/>
        <v>40321</v>
      </c>
      <c r="J43" s="7"/>
      <c r="K43" s="7"/>
      <c r="L43" s="7"/>
      <c r="M43" s="7"/>
      <c r="N43" s="7"/>
    </row>
    <row r="44" spans="1:14" ht="16" thickTop="1" x14ac:dyDescent="0.2">
      <c r="A44" s="88" t="s">
        <v>192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x14ac:dyDescent="0.2">
      <c r="A45" s="86" t="s">
        <v>193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4" x14ac:dyDescent="0.2">
      <c r="A47" t="s">
        <v>132</v>
      </c>
      <c r="B47" s="89">
        <f>'Segmental forecast'!B8</f>
        <v>606</v>
      </c>
      <c r="C47" s="89">
        <f>'Segmental forecast'!C8</f>
        <v>649</v>
      </c>
      <c r="D47" s="89">
        <f>'Segmental forecast'!D8</f>
        <v>706</v>
      </c>
      <c r="E47" s="89">
        <f>'Segmental forecast'!E8</f>
        <v>747</v>
      </c>
      <c r="F47" s="89">
        <f>'Segmental forecast'!F8</f>
        <v>705</v>
      </c>
      <c r="G47" s="89">
        <f>'Segmental forecast'!G8</f>
        <v>721</v>
      </c>
      <c r="H47" s="89">
        <f>'Segmental forecast'!H8</f>
        <v>920</v>
      </c>
      <c r="I47" s="89">
        <f>'Segmental forecast'!I8</f>
        <v>896</v>
      </c>
      <c r="J47" s="89">
        <f>'Segmental forecast'!J8</f>
        <v>896</v>
      </c>
      <c r="K47" s="89">
        <f>'Segmental forecast'!K8</f>
        <v>896</v>
      </c>
      <c r="L47" s="89">
        <f>'Segmental forecast'!L8</f>
        <v>896</v>
      </c>
      <c r="M47" s="89">
        <f>'Segmental forecast'!M8</f>
        <v>896</v>
      </c>
      <c r="N47" s="89">
        <f>'Segmental forecast'!N8</f>
        <v>896</v>
      </c>
    </row>
    <row r="48" spans="1:14" x14ac:dyDescent="0.2">
      <c r="A48" t="s">
        <v>194</v>
      </c>
      <c r="B48" s="3">
        <f>Historicals!B106</f>
        <v>703</v>
      </c>
      <c r="C48" s="3">
        <f>Historicals!C106</f>
        <v>748</v>
      </c>
      <c r="D48" s="3">
        <f>Historicals!D106</f>
        <v>1262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2">
      <c r="A49" s="1" t="s">
        <v>195</v>
      </c>
      <c r="B49" s="9">
        <f>(Historicals!B2-Historicals!B6)*(1-Sheet2!B13)</f>
        <v>18619.906302021402</v>
      </c>
      <c r="C49" s="9">
        <f>(Historicals!C2-Historicals!C6)*(1-Sheet2!C13)</f>
        <v>20483.582089552237</v>
      </c>
      <c r="D49" s="9">
        <f>(Historicals!D2-Historicals!D6)*(1-Sheet2!D13)</f>
        <v>23541.285304952929</v>
      </c>
      <c r="E49" s="9">
        <f>(Historicals!E2-Historicals!E6)*(1-Sheet2!E13)</f>
        <v>12721.151213872834</v>
      </c>
      <c r="F49" s="9">
        <f>(Historicals!F2-Historicals!F6)*(1-Sheet2!F13)</f>
        <v>25316.99062695272</v>
      </c>
      <c r="G49" s="9">
        <f>(Historicals!G2-Historicals!G6)*(1-Sheet2!G13)</f>
        <v>24509.660893661239</v>
      </c>
      <c r="H49" s="9">
        <f>(Historicals!H2-Historicals!H6)*(1-Sheet2!H13)</f>
        <v>29771.630235700344</v>
      </c>
      <c r="I49" s="9">
        <f>(Historicals!I2-Historicals!I6)*(1-Sheet2!I13)</f>
        <v>32503.499624116677</v>
      </c>
      <c r="J49" s="9"/>
      <c r="K49" s="9"/>
      <c r="L49" s="9"/>
      <c r="M49" s="9"/>
      <c r="N49" s="9"/>
    </row>
    <row r="50" spans="1:14" x14ac:dyDescent="0.2">
      <c r="A50" t="s">
        <v>196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2">
      <c r="A51" t="s">
        <v>197</v>
      </c>
      <c r="B51" s="3" t="s">
        <v>158</v>
      </c>
      <c r="C51" s="3">
        <f>C23-B23</f>
        <v>324</v>
      </c>
      <c r="D51" s="3">
        <f t="shared" ref="D51:I51" si="19">D23-C23</f>
        <v>796</v>
      </c>
      <c r="E51" s="3">
        <f t="shared" si="19"/>
        <v>-204</v>
      </c>
      <c r="F51" s="3">
        <f t="shared" si="19"/>
        <v>802</v>
      </c>
      <c r="G51" s="3">
        <f t="shared" si="19"/>
        <v>586</v>
      </c>
      <c r="H51" s="3">
        <f t="shared" si="19"/>
        <v>613</v>
      </c>
      <c r="I51" s="3">
        <f t="shared" si="19"/>
        <v>1248</v>
      </c>
      <c r="J51" s="3"/>
      <c r="K51" s="3"/>
      <c r="L51" s="3"/>
      <c r="M51" s="3"/>
      <c r="N51" s="3"/>
    </row>
    <row r="52" spans="1:14" x14ac:dyDescent="0.2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742</v>
      </c>
      <c r="F52" s="3">
        <f>'Segmental forecast'!F14</f>
        <v>841</v>
      </c>
      <c r="G52" s="3">
        <f>'Segmental forecast'!G14</f>
        <v>648</v>
      </c>
      <c r="H52" s="3">
        <f>'Segmental forecast'!H14</f>
        <v>417</v>
      </c>
      <c r="I52" s="3">
        <f>'Segmental forecast'!I14</f>
        <v>536</v>
      </c>
      <c r="J52" s="3"/>
      <c r="K52" s="3"/>
      <c r="L52" s="3"/>
      <c r="M52" s="3"/>
      <c r="N52" s="3"/>
    </row>
    <row r="53" spans="1:14" x14ac:dyDescent="0.2">
      <c r="A53" s="1" t="s">
        <v>198</v>
      </c>
      <c r="B53" s="9" t="s">
        <v>158</v>
      </c>
      <c r="C53" s="9">
        <f>C14+C25+C51-C26</f>
        <v>2053</v>
      </c>
      <c r="D53" s="9">
        <f t="shared" ref="D53:I53" si="20">D14+D25+D51-D26</f>
        <v>2197</v>
      </c>
      <c r="E53" s="9">
        <f t="shared" si="20"/>
        <v>-1595</v>
      </c>
      <c r="F53" s="9">
        <f t="shared" si="20"/>
        <v>2055</v>
      </c>
      <c r="G53" s="9">
        <f t="shared" si="20"/>
        <v>-88</v>
      </c>
      <c r="H53" s="9">
        <f t="shared" si="20"/>
        <v>2934</v>
      </c>
      <c r="I53" s="9">
        <f t="shared" si="20"/>
        <v>4632</v>
      </c>
      <c r="J53" s="9"/>
      <c r="K53" s="9"/>
      <c r="L53" s="9"/>
      <c r="M53" s="9"/>
      <c r="N53" s="9"/>
    </row>
    <row r="54" spans="1:14" x14ac:dyDescent="0.2">
      <c r="A54" t="s">
        <v>199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-1141</v>
      </c>
      <c r="E54" s="3">
        <f>Historicals!E72+Historicals!E73+Historicals!E74+Historicals!E75</f>
        <v>1482</v>
      </c>
      <c r="F54" s="3">
        <f>Historicals!F72+Historicals!F73+Historicals!F74+Historicals!F75</f>
        <v>-1245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/>
      <c r="L54" s="3"/>
      <c r="M54" s="3"/>
      <c r="N54" s="3"/>
    </row>
    <row r="55" spans="1:14" x14ac:dyDescent="0.2">
      <c r="A55" s="30" t="s">
        <v>200</v>
      </c>
      <c r="B55" s="29" t="s">
        <v>158</v>
      </c>
      <c r="C55" s="29">
        <f>C14+C6+Historicals!C48+Sheet2!C51</f>
        <v>6503</v>
      </c>
      <c r="D55" s="29">
        <f>D14+D6+Historicals!D48+Sheet2!D51</f>
        <v>7649</v>
      </c>
      <c r="E55" s="29">
        <f>E14+E6+Historicals!E48+Sheet2!E51</f>
        <v>5692</v>
      </c>
      <c r="F55" s="29">
        <f>F14+F6+Historicals!F48+Sheet2!F51</f>
        <v>8883</v>
      </c>
      <c r="G55" s="29">
        <f>G14+G6+Historicals!G48+Sheet2!G51</f>
        <v>6530</v>
      </c>
      <c r="H55" s="29">
        <f>H14+H6+Historicals!H48+Sheet2!H51</f>
        <v>10215</v>
      </c>
      <c r="I55" s="29">
        <f>I14+I6+Historicals!I48+Sheet2!I51</f>
        <v>10803</v>
      </c>
      <c r="J55" s="29"/>
      <c r="K55" s="29"/>
      <c r="L55" s="29"/>
      <c r="M55" s="29"/>
      <c r="N55" s="29"/>
    </row>
    <row r="56" spans="1:14" x14ac:dyDescent="0.2">
      <c r="A56" t="s">
        <v>201</v>
      </c>
      <c r="B56" s="3">
        <f>Historicals!B78+Historicals!B79+Historicals!B80+Historicals!B81+Historicals!B82+Historicals!B83+Historicals!B84</f>
        <v>-175</v>
      </c>
      <c r="C56" s="3">
        <f>Historicals!C78+Historicals!C79+Historicals!C80+Historicals!C81+Historicals!C82+Historicals!C83+Historicals!C84</f>
        <v>-1034</v>
      </c>
      <c r="D56" s="3" t="e">
        <f>Historicals!D78+Historicals!D79+Historicals!D80+Historicals!D81+Historicals!D82+Historicals!D83+Historicals!D84</f>
        <v>#VALUE!</v>
      </c>
      <c r="E56" s="3">
        <f>Historicals!E78+Historicals!E79+Historicals!E80+Historicals!E81+Historicals!E82+Historicals!E83+Historicals!E84</f>
        <v>276</v>
      </c>
      <c r="F56" s="3">
        <f>Historicals!F78+Historicals!F79+Historicals!F80+Historicals!F81+Historicals!F82+Historicals!F83+Historicals!F84</f>
        <v>-264</v>
      </c>
      <c r="G56" s="3">
        <f>Historicals!G78+Historicals!G79+Historicals!G80+Historicals!G81+Historicals!G82+Historicals!G83+Historicals!G84</f>
        <v>-1028</v>
      </c>
      <c r="H56" s="3">
        <f>Historicals!H78+Historicals!H79+Historicals!H80+Historicals!H81+Historicals!H82+Historicals!H83+Historicals!H84</f>
        <v>-3800</v>
      </c>
      <c r="I56" s="3">
        <f>Historicals!I78+Historicals!I79+Historicals!I80+Historicals!I81+Historicals!I82+Historicals!I83+Historicals!I84</f>
        <v>-1524</v>
      </c>
      <c r="J56" s="3"/>
      <c r="K56" s="3"/>
      <c r="L56" s="3"/>
      <c r="M56" s="3"/>
      <c r="N56" s="3"/>
    </row>
    <row r="57" spans="1:14" x14ac:dyDescent="0.2">
      <c r="A57" t="s">
        <v>202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 x14ac:dyDescent="0.2">
      <c r="A58" s="30" t="s">
        <v>203</v>
      </c>
      <c r="B58" s="29">
        <f>B56+B57</f>
        <v>-175</v>
      </c>
      <c r="C58" s="29">
        <f t="shared" ref="C58:I58" si="21">C56+C57</f>
        <v>-1028</v>
      </c>
      <c r="D58" s="29" t="e">
        <f t="shared" si="21"/>
        <v>#VALUE!</v>
      </c>
      <c r="E58" s="29">
        <f t="shared" si="21"/>
        <v>251</v>
      </c>
      <c r="F58" s="29">
        <f t="shared" si="21"/>
        <v>-259</v>
      </c>
      <c r="G58" s="29">
        <f t="shared" si="21"/>
        <v>-997</v>
      </c>
      <c r="H58" s="29">
        <f t="shared" si="21"/>
        <v>-3629</v>
      </c>
      <c r="I58" s="29">
        <f t="shared" si="21"/>
        <v>-1543</v>
      </c>
      <c r="J58" s="29"/>
      <c r="K58" s="29"/>
      <c r="L58" s="29"/>
      <c r="M58" s="29"/>
      <c r="N58" s="29"/>
    </row>
    <row r="59" spans="1:14" x14ac:dyDescent="0.2">
      <c r="A59" t="s">
        <v>204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3"/>
      <c r="K59" s="3"/>
      <c r="L59" s="90"/>
      <c r="M59" s="3"/>
      <c r="N59" s="3"/>
    </row>
    <row r="60" spans="1:14" x14ac:dyDescent="0.2">
      <c r="A60" s="82" t="s">
        <v>129</v>
      </c>
      <c r="B60" s="83" t="s">
        <v>158</v>
      </c>
      <c r="C60" s="83">
        <f>C59/B59-1</f>
        <v>-1.3618677042801508E-2</v>
      </c>
      <c r="D60" s="83">
        <f t="shared" ref="D60:I60" si="22">D59/C59-1</f>
        <v>-3.5502958579881616E-2</v>
      </c>
      <c r="E60" s="83">
        <f t="shared" si="22"/>
        <v>0.49897750511247452</v>
      </c>
      <c r="F60" s="83">
        <f t="shared" si="22"/>
        <v>-4.5020463847203263E-2</v>
      </c>
      <c r="G60" s="83">
        <f t="shared" si="22"/>
        <v>0.26428571428571423</v>
      </c>
      <c r="H60" s="83">
        <f t="shared" si="22"/>
        <v>0.32429378531073438</v>
      </c>
      <c r="I60" s="83">
        <f t="shared" si="22"/>
        <v>-1.7918088737201354E-2</v>
      </c>
      <c r="J60" s="83"/>
      <c r="K60" s="83"/>
      <c r="L60" s="83"/>
      <c r="M60" s="84"/>
      <c r="N60" s="84"/>
    </row>
    <row r="61" spans="1:14" x14ac:dyDescent="0.2">
      <c r="A61" t="s">
        <v>205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2">
      <c r="A62" t="s">
        <v>206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">
      <c r="A63" t="s">
        <v>207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</row>
    <row r="64" spans="1:14" x14ac:dyDescent="0.2">
      <c r="A64" s="30" t="s">
        <v>208</v>
      </c>
      <c r="B64" s="29">
        <f>Historicals!B94-Historicals!B87+Historicals!B88+Sheet2!B61</f>
        <v>-3440</v>
      </c>
      <c r="C64" s="29">
        <f>Historicals!C94-Historicals!C87+Historicals!C88+Sheet2!C61</f>
        <v>-5347</v>
      </c>
      <c r="D64" s="29">
        <f>Historicals!D94-Historicals!D87+Historicals!D88+Sheet2!D61</f>
        <v>-5882</v>
      </c>
      <c r="E64" s="29">
        <f>Historicals!E94-Historicals!E87+Historicals!E88+Sheet2!E61</f>
        <v>-5503</v>
      </c>
      <c r="F64" s="29">
        <f>Historicals!F94-Historicals!F87+Historicals!F88+Sheet2!F61</f>
        <v>-5618</v>
      </c>
      <c r="G64" s="29">
        <f>Historicals!G94-Historicals!G87+Historicals!G88+Sheet2!G61</f>
        <v>-10653</v>
      </c>
      <c r="H64" s="29">
        <f>Historicals!H94-Historicals!H87+Historicals!H88+Sheet2!H61</f>
        <v>-2246</v>
      </c>
      <c r="I64" s="29">
        <f>Historicals!I94-Historicals!I87+Historicals!I88+Sheet2!I61</f>
        <v>-5851</v>
      </c>
      <c r="J64" s="29"/>
      <c r="K64" s="29"/>
      <c r="L64" s="29"/>
      <c r="M64" s="29"/>
      <c r="N64" s="29"/>
    </row>
    <row r="65" spans="1:14" x14ac:dyDescent="0.2">
      <c r="A65" t="s">
        <v>209</v>
      </c>
      <c r="B65" s="3">
        <f>Historicals!B66+Historicals!B67+Historicals!B68+Historicals!B69+Historicals!B70</f>
        <v>1151</v>
      </c>
      <c r="C65" s="3">
        <f>Historicals!C66+Historicals!C67+Historicals!C68+Historicals!C69+Historicals!C70</f>
        <v>916</v>
      </c>
      <c r="D65" s="3">
        <f>Historicals!D66+Historicals!D67+Historicals!D68+Historicals!D69+Historicals!D70</f>
        <v>541</v>
      </c>
      <c r="E65" s="3">
        <f>Historicals!E66+Historicals!E67+Historicals!E68+Historicals!E69+Historicals!E70</f>
        <v>1540</v>
      </c>
      <c r="F65" s="3">
        <f>Historicals!F66+Historicals!F67+Historicals!F68+Historicals!F69+Historicals!F70</f>
        <v>1312</v>
      </c>
      <c r="G65" s="3">
        <f>Historicals!G66+Historicals!G67+Historicals!G68+Historicals!G69+Historicals!G70</f>
        <v>1191</v>
      </c>
      <c r="H65" s="3">
        <f>Historicals!H66+Historicals!H67+Historicals!H68+Historicals!H69+Historicals!H70</f>
        <v>885</v>
      </c>
      <c r="I65" s="3">
        <f>Historicals!I66+Historicals!I67+Historicals!I68+Historicals!I69+Historicals!I70</f>
        <v>802</v>
      </c>
      <c r="J65" s="3"/>
      <c r="K65" s="3"/>
      <c r="L65" s="3"/>
      <c r="M65" s="3"/>
      <c r="N65" s="3"/>
    </row>
    <row r="66" spans="1:14" x14ac:dyDescent="0.2">
      <c r="A66" s="30" t="s">
        <v>210</v>
      </c>
      <c r="B66" s="29">
        <f>Historicals!B99</f>
        <v>1632</v>
      </c>
      <c r="C66" s="29">
        <f>Historicals!C99</f>
        <v>-714</v>
      </c>
      <c r="D66" s="29">
        <f>Historicals!D99</f>
        <v>670</v>
      </c>
      <c r="E66" s="29">
        <f>Historicals!E99</f>
        <v>496</v>
      </c>
      <c r="F66" s="29">
        <f>Historicals!F99</f>
        <v>-1590</v>
      </c>
      <c r="G66" s="29">
        <f>Historicals!G99</f>
        <v>3882</v>
      </c>
      <c r="H66" s="29">
        <f>Historicals!H99</f>
        <v>1541</v>
      </c>
      <c r="I66" s="29">
        <f>Historicals!I99</f>
        <v>-1315</v>
      </c>
      <c r="J66" s="29"/>
      <c r="K66" s="29"/>
      <c r="L66" s="29"/>
      <c r="M66" s="29"/>
      <c r="N66" s="29"/>
    </row>
    <row r="67" spans="1:14" x14ac:dyDescent="0.2">
      <c r="A67" t="s">
        <v>211</v>
      </c>
      <c r="B67" s="3">
        <v>12707</v>
      </c>
      <c r="C67" s="3">
        <v>12258</v>
      </c>
      <c r="D67" s="3">
        <v>12407</v>
      </c>
      <c r="E67" s="3">
        <v>9812</v>
      </c>
      <c r="F67" s="3">
        <v>9040</v>
      </c>
      <c r="G67" s="3">
        <v>8055</v>
      </c>
      <c r="H67" s="3">
        <v>12767</v>
      </c>
      <c r="I67" s="3">
        <v>15281</v>
      </c>
      <c r="J67" s="3"/>
      <c r="K67" s="3"/>
      <c r="L67" s="3"/>
      <c r="M67" s="3"/>
      <c r="N67" s="3"/>
    </row>
    <row r="68" spans="1:14" ht="16" thickBot="1" x14ac:dyDescent="0.25">
      <c r="A68" s="6" t="s">
        <v>212</v>
      </c>
      <c r="B68" s="7">
        <f>B67+B66</f>
        <v>14339</v>
      </c>
      <c r="C68" s="7">
        <f t="shared" ref="C68:I68" si="23">C67+C66</f>
        <v>11544</v>
      </c>
      <c r="D68" s="7">
        <f t="shared" si="23"/>
        <v>13077</v>
      </c>
      <c r="E68" s="7">
        <f t="shared" si="23"/>
        <v>10308</v>
      </c>
      <c r="F68" s="7">
        <f t="shared" si="23"/>
        <v>7450</v>
      </c>
      <c r="G68" s="7">
        <f t="shared" si="23"/>
        <v>11937</v>
      </c>
      <c r="H68" s="7">
        <f t="shared" si="23"/>
        <v>14308</v>
      </c>
      <c r="I68" s="7">
        <f t="shared" si="23"/>
        <v>13966</v>
      </c>
      <c r="J68" s="7"/>
      <c r="K68" s="7"/>
      <c r="L68" s="7"/>
      <c r="M68" s="7"/>
      <c r="N68" s="7"/>
    </row>
    <row r="69" spans="1:14" ht="16" thickTop="1" x14ac:dyDescent="0.2">
      <c r="A69" s="1" t="s">
        <v>213</v>
      </c>
      <c r="B69" s="52">
        <f>(Historicals!B45+Historicals!B59)-Historicals!B25</f>
        <v>24077</v>
      </c>
      <c r="C69" s="52">
        <f>(Historicals!C45+Historicals!C59)-Historicals!C25</f>
        <v>23616</v>
      </c>
      <c r="D69" s="52">
        <f>(Historicals!D45+Historicals!D59)-Historicals!D25</f>
        <v>24925</v>
      </c>
      <c r="E69" s="52">
        <f>(Historicals!E45+Historicals!E59)-Historicals!E25</f>
        <v>24327</v>
      </c>
      <c r="F69" s="52">
        <f>(Historicals!F45+Historicals!F59)-Historicals!F25</f>
        <v>27117</v>
      </c>
      <c r="G69" s="52">
        <f>(Historicals!G45+Historicals!G59)-Historicals!G25</f>
        <v>31278</v>
      </c>
      <c r="H69" s="52">
        <f>(Historicals!H45+Historicals!H59)-Historicals!H25</f>
        <v>37525</v>
      </c>
      <c r="I69" s="52">
        <f>(Historicals!I45+Historicals!I59)-Historicals!I25</f>
        <v>42477</v>
      </c>
      <c r="J69" s="52"/>
      <c r="K69" s="52"/>
      <c r="L69" s="52"/>
      <c r="M69" s="52"/>
      <c r="N69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2023-10-04T07:27:28Z</dcterms:modified>
</cp:coreProperties>
</file>