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ell\Downloads\"/>
    </mc:Choice>
  </mc:AlternateContent>
  <bookViews>
    <workbookView xWindow="0" yWindow="0" windowWidth="19368" windowHeight="8388" activeTab="2"/>
  </bookViews>
  <sheets>
    <sheet name="Instructions" sheetId="2" r:id="rId1"/>
    <sheet name="Financial Statements" sheetId="1" r:id="rId2"/>
    <sheet name="List of Ratios" sheetId="3" r:id="rId3"/>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3" l="1"/>
  <c r="C136" i="1"/>
  <c r="D136" i="1"/>
  <c r="B136" i="1"/>
  <c r="C135" i="1"/>
  <c r="D135" i="1"/>
  <c r="B135" i="1"/>
  <c r="E31" i="3"/>
  <c r="E30" i="3" s="1"/>
  <c r="F31" i="3"/>
  <c r="F30" i="3" s="1"/>
  <c r="D31" i="3"/>
  <c r="D30" i="3" s="1"/>
  <c r="C142" i="1"/>
  <c r="D142" i="1"/>
  <c r="B142" i="1"/>
  <c r="D51" i="3"/>
  <c r="E51" i="3"/>
  <c r="F51" i="3"/>
  <c r="C141" i="1"/>
  <c r="D141" i="1"/>
  <c r="B141" i="1"/>
  <c r="C127" i="1"/>
  <c r="D127" i="1"/>
  <c r="B127" i="1"/>
  <c r="C140" i="1"/>
  <c r="D140" i="1"/>
  <c r="B140" i="1"/>
  <c r="E47" i="3"/>
  <c r="F47" i="3"/>
  <c r="D47" i="3"/>
  <c r="E43" i="3"/>
  <c r="F43" i="3"/>
  <c r="D43" i="3"/>
  <c r="E45" i="3"/>
  <c r="F45" i="3"/>
  <c r="F46" i="3" s="1"/>
  <c r="D45" i="3"/>
  <c r="D46" i="3" s="1"/>
  <c r="C139" i="1"/>
  <c r="D139" i="1"/>
  <c r="B139" i="1"/>
  <c r="C118" i="1" l="1"/>
  <c r="D118" i="1"/>
  <c r="B118" i="1"/>
  <c r="C117" i="1"/>
  <c r="D117" i="1"/>
  <c r="B117" i="1"/>
  <c r="C116" i="1"/>
  <c r="D116" i="1"/>
  <c r="B116" i="1"/>
  <c r="E8" i="3"/>
  <c r="F8" i="3"/>
  <c r="D8" i="3"/>
  <c r="E9" i="3"/>
  <c r="F9" i="3"/>
  <c r="C137" i="1"/>
  <c r="D137" i="1"/>
  <c r="B137" i="1"/>
  <c r="C138" i="1"/>
  <c r="D138" i="1"/>
  <c r="B138" i="1"/>
  <c r="E56" i="3" l="1"/>
  <c r="D56" i="3"/>
  <c r="E55" i="3"/>
  <c r="D55" i="3"/>
  <c r="E77" i="3"/>
  <c r="F77" i="3"/>
  <c r="D77" i="3"/>
  <c r="E40" i="3"/>
  <c r="F40" i="3"/>
  <c r="D40" i="3"/>
  <c r="E41" i="3"/>
  <c r="F41" i="3"/>
  <c r="D41" i="3"/>
  <c r="C134" i="1"/>
  <c r="D134" i="1"/>
  <c r="B134" i="1"/>
  <c r="C129" i="1" l="1"/>
  <c r="E60" i="3" s="1"/>
  <c r="B129" i="1"/>
  <c r="D60" i="3" s="1"/>
  <c r="C128" i="1"/>
  <c r="E59" i="3" s="1"/>
  <c r="B128" i="1"/>
  <c r="D59" i="3" s="1"/>
  <c r="F44" i="3"/>
  <c r="D56" i="1"/>
  <c r="F7" i="3" s="1"/>
  <c r="D108" i="1"/>
  <c r="C108" i="1"/>
  <c r="B108" i="1"/>
  <c r="D99" i="1"/>
  <c r="C99" i="1"/>
  <c r="B99" i="1"/>
  <c r="F6" i="3" l="1"/>
  <c r="D44" i="3"/>
  <c r="E44" i="3"/>
  <c r="D68" i="1"/>
  <c r="C68" i="1"/>
  <c r="B68" i="1"/>
  <c r="D61" i="1"/>
  <c r="C61" i="1"/>
  <c r="B61" i="1"/>
  <c r="C56" i="1"/>
  <c r="B56" i="1"/>
  <c r="D47" i="1"/>
  <c r="C47" i="1"/>
  <c r="B47" i="1"/>
  <c r="D42" i="1"/>
  <c r="C42" i="1"/>
  <c r="B42" i="1"/>
  <c r="D17" i="1"/>
  <c r="D133" i="1" s="1"/>
  <c r="C17" i="1"/>
  <c r="C133" i="1" s="1"/>
  <c r="B17" i="1"/>
  <c r="B133" i="1" s="1"/>
  <c r="D12" i="1"/>
  <c r="C12" i="1"/>
  <c r="B12" i="1"/>
  <c r="D9" i="3" s="1"/>
  <c r="D8" i="1"/>
  <c r="C8" i="1"/>
  <c r="B8" i="1"/>
  <c r="D57" i="3" s="1"/>
  <c r="F3" i="3"/>
  <c r="E3" i="3"/>
  <c r="D3" i="3"/>
  <c r="D33" i="1"/>
  <c r="D73" i="1" s="1"/>
  <c r="C33" i="1"/>
  <c r="C73" i="1" s="1"/>
  <c r="B33" i="1"/>
  <c r="B73" i="1" s="1"/>
  <c r="E57" i="3" l="1"/>
  <c r="F25" i="3"/>
  <c r="F27" i="3"/>
  <c r="F10" i="3"/>
  <c r="F66" i="3"/>
  <c r="D11" i="3"/>
  <c r="D76" i="3"/>
  <c r="D70" i="3"/>
  <c r="B13" i="1"/>
  <c r="D69" i="3"/>
  <c r="E27" i="3"/>
  <c r="E25" i="3"/>
  <c r="C132" i="1"/>
  <c r="E63" i="3" s="1"/>
  <c r="E76" i="3"/>
  <c r="E11" i="3"/>
  <c r="E69" i="3"/>
  <c r="E70" i="3"/>
  <c r="F11" i="3"/>
  <c r="F76" i="3"/>
  <c r="F69" i="3"/>
  <c r="F70" i="3"/>
  <c r="D36" i="3"/>
  <c r="D10" i="3"/>
  <c r="D66" i="3"/>
  <c r="E36" i="3"/>
  <c r="E10" i="3"/>
  <c r="E66" i="3"/>
  <c r="D27" i="3"/>
  <c r="D25" i="3"/>
  <c r="B132" i="1"/>
  <c r="D63" i="3" s="1"/>
  <c r="D7" i="3"/>
  <c r="D6" i="3"/>
  <c r="D13" i="1"/>
  <c r="F35" i="3"/>
  <c r="F5" i="3"/>
  <c r="F14" i="3"/>
  <c r="F13" i="3" s="1"/>
  <c r="F36" i="3"/>
  <c r="C125" i="1"/>
  <c r="C62" i="1"/>
  <c r="C69" i="1" s="1"/>
  <c r="E6" i="3"/>
  <c r="E7" i="3"/>
  <c r="E5" i="3"/>
  <c r="E14" i="3"/>
  <c r="E13" i="3" s="1"/>
  <c r="B125" i="1"/>
  <c r="D125" i="1"/>
  <c r="B18" i="1"/>
  <c r="D35" i="3"/>
  <c r="E35" i="3"/>
  <c r="B48" i="1"/>
  <c r="B122" i="1" s="1"/>
  <c r="D5" i="3"/>
  <c r="D14" i="3"/>
  <c r="D13" i="3" s="1"/>
  <c r="C13" i="1"/>
  <c r="E58" i="3" s="1"/>
  <c r="B62" i="1"/>
  <c r="C48" i="1"/>
  <c r="D62" i="1"/>
  <c r="D48" i="1"/>
  <c r="A47" i="3"/>
  <c r="A49" i="3" s="1"/>
  <c r="A16" i="3"/>
  <c r="A17" i="3" s="1"/>
  <c r="A18" i="3" s="1"/>
  <c r="A20" i="3" s="1"/>
  <c r="A22" i="3" s="1"/>
  <c r="A5" i="3"/>
  <c r="A6" i="3" s="1"/>
  <c r="A7" i="3" s="1"/>
  <c r="A8" i="3" s="1"/>
  <c r="A9" i="3" s="1"/>
  <c r="A10" i="3" s="1"/>
  <c r="A11" i="3" s="1"/>
  <c r="A12" i="3" s="1"/>
  <c r="A13" i="3" s="1"/>
  <c r="D58" i="3" l="1"/>
  <c r="D12" i="3"/>
  <c r="F12" i="3"/>
  <c r="F26" i="3"/>
  <c r="F42" i="3"/>
  <c r="B20" i="1"/>
  <c r="B22" i="1" s="1"/>
  <c r="D72" i="3" s="1"/>
  <c r="D21" i="3"/>
  <c r="D71" i="3"/>
  <c r="F17" i="3"/>
  <c r="F67" i="3"/>
  <c r="C122" i="1"/>
  <c r="E42" i="3"/>
  <c r="E26" i="3"/>
  <c r="C130" i="1"/>
  <c r="E61" i="3" s="1"/>
  <c r="E12" i="3"/>
  <c r="D42" i="3"/>
  <c r="D26" i="3"/>
  <c r="B130" i="1"/>
  <c r="D61" i="3" s="1"/>
  <c r="C131" i="1"/>
  <c r="E62" i="3" s="1"/>
  <c r="B131" i="1"/>
  <c r="D62" i="3" s="1"/>
  <c r="C18" i="1"/>
  <c r="E17" i="3"/>
  <c r="E67" i="3"/>
  <c r="D17" i="3"/>
  <c r="D67" i="3"/>
  <c r="D124" i="1"/>
  <c r="D123" i="1"/>
  <c r="F34" i="3"/>
  <c r="D34" i="3"/>
  <c r="B123" i="1"/>
  <c r="B124" i="1"/>
  <c r="D69" i="1"/>
  <c r="D126" i="1"/>
  <c r="C126" i="1"/>
  <c r="B69" i="1"/>
  <c r="B126" i="1"/>
  <c r="D122" i="1"/>
  <c r="D18" i="1"/>
  <c r="E34" i="3"/>
  <c r="C124" i="1"/>
  <c r="C123" i="1"/>
  <c r="A24" i="3"/>
  <c r="A25" i="3" s="1"/>
  <c r="A26" i="3" s="1"/>
  <c r="A27" i="3" s="1"/>
  <c r="A28" i="3" s="1"/>
  <c r="A29" i="3" s="1"/>
  <c r="A30" i="3" s="1"/>
  <c r="D19" i="3" l="1"/>
  <c r="D50" i="3" s="1"/>
  <c r="D48" i="3"/>
  <c r="C20" i="1"/>
  <c r="C22" i="1" s="1"/>
  <c r="E72" i="3" s="1"/>
  <c r="E21" i="3"/>
  <c r="E19" i="3" s="1"/>
  <c r="E50" i="3" s="1"/>
  <c r="E71" i="3"/>
  <c r="D20" i="1"/>
  <c r="D22" i="1" s="1"/>
  <c r="F72" i="3" s="1"/>
  <c r="F21" i="3"/>
  <c r="F19" i="3" s="1"/>
  <c r="F71" i="3"/>
  <c r="A33" i="3"/>
  <c r="A34" i="3" s="1"/>
  <c r="A35" i="3" s="1"/>
  <c r="A36" i="3" s="1"/>
  <c r="A37" i="3" s="1"/>
  <c r="D28" i="3"/>
  <c r="D20" i="3"/>
  <c r="E37" i="3"/>
  <c r="E49" i="3" s="1"/>
  <c r="C77" i="1"/>
  <c r="E22" i="3"/>
  <c r="C121" i="1"/>
  <c r="C76" i="1"/>
  <c r="B77" i="1"/>
  <c r="D18" i="3"/>
  <c r="D37" i="3"/>
  <c r="D49" i="3" s="1"/>
  <c r="D22" i="3"/>
  <c r="B76" i="1"/>
  <c r="B121" i="1"/>
  <c r="E28" i="3"/>
  <c r="A39" i="3"/>
  <c r="A40" i="3" s="1"/>
  <c r="A41" i="3" s="1"/>
  <c r="A42" i="3" s="1"/>
  <c r="A43" i="3" s="1"/>
  <c r="A44" i="3" s="1"/>
  <c r="A46" i="3" s="1"/>
  <c r="A48" i="3" s="1"/>
  <c r="A50" i="3" s="1"/>
  <c r="E20" i="3" l="1"/>
  <c r="C91" i="1"/>
  <c r="C109" i="1" s="1"/>
  <c r="E48" i="3"/>
  <c r="E18" i="3"/>
  <c r="B91" i="1"/>
  <c r="F28" i="3"/>
  <c r="F48" i="3"/>
  <c r="F20" i="3"/>
  <c r="D77" i="1"/>
  <c r="F37" i="3"/>
  <c r="F49" i="3" s="1"/>
  <c r="D121" i="1"/>
  <c r="F22" i="3"/>
  <c r="D76" i="1"/>
  <c r="D91" i="1" l="1"/>
  <c r="D109" i="1" s="1"/>
  <c r="B109" i="1"/>
  <c r="F18" i="3"/>
  <c r="F50" i="3"/>
</calcChain>
</file>

<file path=xl/sharedStrings.xml><?xml version="1.0" encoding="utf-8"?>
<sst xmlns="http://schemas.openxmlformats.org/spreadsheetml/2006/main" count="300" uniqueCount="254">
  <si>
    <t>Apple Inc.</t>
  </si>
  <si>
    <t>CONSOLIDATED STATEMENTS OF OPERATIONS</t>
  </si>
  <si>
    <t>(In millions, except number of shares which are reflected in thousands and per share amounts)</t>
  </si>
  <si>
    <t>Net sales:</t>
  </si>
  <si>
    <t>Products</t>
  </si>
  <si>
    <t>Services</t>
  </si>
  <si>
    <t>Total net sales</t>
  </si>
  <si>
    <t>Cost of sales:</t>
  </si>
  <si>
    <t>Total cost of sales</t>
  </si>
  <si>
    <t>Gross margin</t>
  </si>
  <si>
    <t>Operating expenses:</t>
  </si>
  <si>
    <t>Research and development</t>
  </si>
  <si>
    <t>Selling, general and administrative</t>
  </si>
  <si>
    <t>Total operating expenses</t>
  </si>
  <si>
    <t>Operating income</t>
  </si>
  <si>
    <t>Other income/(expense), net</t>
  </si>
  <si>
    <t>Income before provision for income taxes</t>
  </si>
  <si>
    <t>Provision for income taxes</t>
  </si>
  <si>
    <t>Net income</t>
  </si>
  <si>
    <t>Earnings per share:</t>
  </si>
  <si>
    <t>Basic</t>
  </si>
  <si>
    <t>Diluted</t>
  </si>
  <si>
    <t>Shares used in computing earnings per share:</t>
  </si>
  <si>
    <t>Years ended September,</t>
  </si>
  <si>
    <t>CONSOLIDATED BALANCE SHEETS</t>
  </si>
  <si>
    <t>Current assets:</t>
  </si>
  <si>
    <t>Cash and cash equivalents</t>
  </si>
  <si>
    <t>Marketable securities</t>
  </si>
  <si>
    <t>Accounts receivable, net</t>
  </si>
  <si>
    <t>Inventories</t>
  </si>
  <si>
    <t>Other current assets</t>
  </si>
  <si>
    <t>Total current assets</t>
  </si>
  <si>
    <t>Property, plant and equipment, net</t>
  </si>
  <si>
    <t>Total assets</t>
  </si>
  <si>
    <t>Current liabilities:</t>
  </si>
  <si>
    <t>Accounts payable</t>
  </si>
  <si>
    <t>Other current liabilities</t>
  </si>
  <si>
    <t>Deferred revenue</t>
  </si>
  <si>
    <t>Commercial paper</t>
  </si>
  <si>
    <t>Term debt</t>
  </si>
  <si>
    <t>Total current liabilities</t>
  </si>
  <si>
    <t>Total liabilities</t>
  </si>
  <si>
    <t>Shareholders’ equity:</t>
  </si>
  <si>
    <t>Retained earnings</t>
  </si>
  <si>
    <t>Accumulated other comprehensive income/(loss)</t>
  </si>
  <si>
    <t>Total shareholders’ equity</t>
  </si>
  <si>
    <t>Total liabilities and shareholders’ equity</t>
  </si>
  <si>
    <t>Vendor non trade receivables</t>
  </si>
  <si>
    <t>Non current assets:</t>
  </si>
  <si>
    <t>Other non current assets</t>
  </si>
  <si>
    <t>Total non current assets</t>
  </si>
  <si>
    <t>Non current liabilities:</t>
  </si>
  <si>
    <t>Other non current liabilities</t>
  </si>
  <si>
    <t>Total non current liabilities</t>
  </si>
  <si>
    <t>Common stock and additional paid in capital, $0.00001 par value: 12,600,000 shares authorized; 4,443,236 and 4,754,986 shares issued and outstanding, respectively</t>
  </si>
  <si>
    <t>CONSOLIDATED STATEMENTS OF CASH FLOWS</t>
  </si>
  <si>
    <t>Cash, cash equivalents and restricted cash, beginning balances</t>
  </si>
  <si>
    <t>Operating activities:</t>
  </si>
  <si>
    <t>Adjustments to reconcile net income to cash generated by operating</t>
  </si>
  <si>
    <t>Depreciation and amortization</t>
  </si>
  <si>
    <t>Deferred income tax expense/(benefit)</t>
  </si>
  <si>
    <t>Other</t>
  </si>
  <si>
    <t>Changes in operating assets and liabilities:</t>
  </si>
  <si>
    <t>Cash generated by operating activities</t>
  </si>
  <si>
    <t>Investing activities:</t>
  </si>
  <si>
    <t>Purchases of marketable securities</t>
  </si>
  <si>
    <t>Proceeds from maturities of marketable securities</t>
  </si>
  <si>
    <t>Proceeds from sales of marketable securities</t>
  </si>
  <si>
    <t>Payments for acquisition of property, plant and equipment</t>
  </si>
  <si>
    <t>Payments made in connection with business acquisitions, net</t>
  </si>
  <si>
    <t>Cash generated by/(used in) investing activities</t>
  </si>
  <si>
    <t>Financing activities:</t>
  </si>
  <si>
    <t>Payments for dividends and dividend equivalents</t>
  </si>
  <si>
    <t>Repurchases of common stock</t>
  </si>
  <si>
    <t>Proceeds from issuance of term debt, net</t>
  </si>
  <si>
    <t>Repayments of term debt</t>
  </si>
  <si>
    <t>Proceeds from/(Repayments of) commercial paper, net</t>
  </si>
  <si>
    <t>Cash used in financing activities</t>
  </si>
  <si>
    <t>Increase/(Decrease) in cash, cash equivalents and restricted</t>
  </si>
  <si>
    <t>Cash, cash equivalents and restricted cash, ending balances</t>
  </si>
  <si>
    <t>Supplemental cash flow disclosure:</t>
  </si>
  <si>
    <t>Cash paid for income taxes, net</t>
  </si>
  <si>
    <t>Cash paid for interest</t>
  </si>
  <si>
    <t>Share based compensation expense</t>
  </si>
  <si>
    <t>Other current and non current assets</t>
  </si>
  <si>
    <t>Other current and non current liabilities</t>
  </si>
  <si>
    <t>Payments for taxes related to net share settlement of equity awards</t>
  </si>
  <si>
    <t>Instructions</t>
  </si>
  <si>
    <t>https://investor.apple.com/investor-relations/default.aspx</t>
  </si>
  <si>
    <t>Gross profits</t>
  </si>
  <si>
    <t>Each operating expenses</t>
  </si>
  <si>
    <t>Main line items of the balance sheet</t>
  </si>
  <si>
    <t>You are required to calculate margins/ as a % of net sales for the following:</t>
  </si>
  <si>
    <t>Net profit</t>
  </si>
  <si>
    <t>Income tax rate</t>
  </si>
  <si>
    <t>Capex as a percentage of sales</t>
  </si>
  <si>
    <t>Capex as a percentage of fixed assets</t>
  </si>
  <si>
    <t>You are required to perform a ratio analysis in excel using the information provided from this financial statements</t>
  </si>
  <si>
    <t>You are required to calculate the following additional items</t>
  </si>
  <si>
    <t>Liquidity</t>
  </si>
  <si>
    <t>Current ratio</t>
  </si>
  <si>
    <t>Quick Ratio</t>
  </si>
  <si>
    <t>Cash Ratio</t>
  </si>
  <si>
    <t>Defensive Interval</t>
  </si>
  <si>
    <t>Inventory Days</t>
  </si>
  <si>
    <t>Payable Days</t>
  </si>
  <si>
    <t>Receivable Days</t>
  </si>
  <si>
    <t>Working Capital as a % of Sales</t>
  </si>
  <si>
    <t>Working Capital</t>
  </si>
  <si>
    <t>Profitability</t>
  </si>
  <si>
    <t>EBITDA margin</t>
  </si>
  <si>
    <t>EBITDA</t>
  </si>
  <si>
    <t>EBIT margin</t>
  </si>
  <si>
    <t>EBIT</t>
  </si>
  <si>
    <t>Net margin</t>
  </si>
  <si>
    <t>Solvency/ debt management</t>
  </si>
  <si>
    <t>Debt to equity (D/E)</t>
  </si>
  <si>
    <t>Debt to total assets</t>
  </si>
  <si>
    <t>Long-term debt to capital</t>
  </si>
  <si>
    <t>Times interest earned</t>
  </si>
  <si>
    <t>Debt coverage</t>
  </si>
  <si>
    <t>Free cash flow (FCFE) per share</t>
  </si>
  <si>
    <t>FCFE</t>
  </si>
  <si>
    <t>Asset utilization</t>
  </si>
  <si>
    <t>Total asset turnover</t>
  </si>
  <si>
    <t>Fixed asset turnover</t>
  </si>
  <si>
    <t>Inventory turnover</t>
  </si>
  <si>
    <t>Return on assets (ROA)</t>
  </si>
  <si>
    <t>Investor/market ratios</t>
  </si>
  <si>
    <t>Price to equity (P/E)</t>
  </si>
  <si>
    <t>Earnings per share (EPS)</t>
  </si>
  <si>
    <t>Price to book value (PBV)</t>
  </si>
  <si>
    <t>Book value per share (BV)</t>
  </si>
  <si>
    <t>Dividend payout ratio</t>
  </si>
  <si>
    <t>Dividend per share</t>
  </si>
  <si>
    <t>Dividend yield</t>
  </si>
  <si>
    <t>Return on equity (ROE)</t>
  </si>
  <si>
    <t>Return on capital employed (ROCE)</t>
  </si>
  <si>
    <t>Enterprise value to EBITDA (EV/EBITDA)</t>
  </si>
  <si>
    <t>Enterprise value (EV)</t>
  </si>
  <si>
    <t>Sheet contains the financial statements of Apple Inc. extracted from the most recent annual report:</t>
  </si>
  <si>
    <t>As at September,</t>
  </si>
  <si>
    <t>https://www.bloomberg.com/quote/AAPL:US</t>
  </si>
  <si>
    <t>* Market information like share price should be obtained from bloomberg.com from the particular day's closing price</t>
  </si>
  <si>
    <t>Sales (each category and net sales)</t>
  </si>
  <si>
    <t>COGS (Cost of goods sold)</t>
  </si>
  <si>
    <t>All of the above ratios should be calculated in the "List of Ratios" tab</t>
  </si>
  <si>
    <t>The ratios that should be calculated are listed in the ratios tab</t>
  </si>
  <si>
    <t>In addition to the above, you are required to calculate the growth rates for the following:</t>
  </si>
  <si>
    <t xml:space="preserve">Formula </t>
  </si>
  <si>
    <t xml:space="preserve">Current Asset/Current Liability </t>
  </si>
  <si>
    <t>(Cash+Current Marketable Securuties + Reciveables)/ Current Liabilities)</t>
  </si>
  <si>
    <t xml:space="preserve">(Cash+Marketable Securites)/ Current Liablities </t>
  </si>
  <si>
    <t xml:space="preserve">(Cash+Mrt.sec. + Recieveables)/Daily cash Expenditures </t>
  </si>
  <si>
    <t>(Average Inventory /COGS)*365</t>
  </si>
  <si>
    <t xml:space="preserve">Average Inventory </t>
  </si>
  <si>
    <t xml:space="preserve">Total Current Assets - Toatal rent Liabilities </t>
  </si>
  <si>
    <t>Working Capital/ Sales X 100</t>
  </si>
  <si>
    <t xml:space="preserve">Earnings + Interest+Income Tax +D&amp;A Expense </t>
  </si>
  <si>
    <t xml:space="preserve">EBITA/Total Sales </t>
  </si>
  <si>
    <t xml:space="preserve">Net Income/ Revenue </t>
  </si>
  <si>
    <t>Operating Profit</t>
  </si>
  <si>
    <t xml:space="preserve">Operating Profit/ Revenue </t>
  </si>
  <si>
    <t xml:space="preserve">Total Debt/ Total Equity </t>
  </si>
  <si>
    <t>Total Debt/Total Assets</t>
  </si>
  <si>
    <t xml:space="preserve">Total Debt/ Total Debt + Total Equity </t>
  </si>
  <si>
    <t xml:space="preserve">Interest Coverage = EBIT/Interest </t>
  </si>
  <si>
    <t xml:space="preserve">COGS/Average Inventory </t>
  </si>
  <si>
    <t>Stock Price/Earnings Per Share</t>
  </si>
  <si>
    <t xml:space="preserve">Net Income -Prefferd Divident/ Wtd Avg No of Common Shs Outstanding </t>
  </si>
  <si>
    <t xml:space="preserve">Market Price per Share(Market Cap) / Book Value Per Share </t>
  </si>
  <si>
    <t xml:space="preserve">DPS/EPS or Total Dividend Paid / Total Earnings </t>
  </si>
  <si>
    <t xml:space="preserve">Annualized Dividend Amount/ Weighted average Share Count </t>
  </si>
  <si>
    <t xml:space="preserve">DPS/Share Price </t>
  </si>
  <si>
    <t xml:space="preserve">Revenue/Average Total Assets </t>
  </si>
  <si>
    <t xml:space="preserve">Revenue/ Average Net Fixed Assets </t>
  </si>
  <si>
    <t xml:space="preserve">operating profit </t>
  </si>
  <si>
    <t xml:space="preserve">Using total assets for the first year as average total asset </t>
  </si>
  <si>
    <t xml:space="preserve">Average Net Fixed Assets. </t>
  </si>
  <si>
    <t xml:space="preserve">Net Income/Average Total Assets </t>
  </si>
  <si>
    <t xml:space="preserve">Stock Price </t>
  </si>
  <si>
    <t>(Net Income/Sales)</t>
  </si>
  <si>
    <t>(Sales/Assests)</t>
  </si>
  <si>
    <t xml:space="preserve">(Assets/Equity) </t>
  </si>
  <si>
    <t xml:space="preserve">Total Assets - Total Current Liabilities </t>
  </si>
  <si>
    <t xml:space="preserve">Shareholders Equity+Long term Liabilities </t>
  </si>
  <si>
    <t>(Book Value of Debt- Cash and Equvivalent)</t>
  </si>
  <si>
    <t xml:space="preserve">Growth Rates </t>
  </si>
  <si>
    <t xml:space="preserve">Products Net Sales </t>
  </si>
  <si>
    <t xml:space="preserve">Services Net Sales </t>
  </si>
  <si>
    <t xml:space="preserve">Total Net Sales. </t>
  </si>
  <si>
    <t>(Current Period Sales- Prior Period Sales)/ Prior Period Sales *100</t>
  </si>
  <si>
    <t xml:space="preserve">Gross Profits </t>
  </si>
  <si>
    <t>((Current year-Previous Year)/Previous Year)*100</t>
  </si>
  <si>
    <t xml:space="preserve">R&amp;D Operating Expenses </t>
  </si>
  <si>
    <t xml:space="preserve">Selling, general and administrative Operating Expenses </t>
  </si>
  <si>
    <t>R&amp;D Operating Expenses (Current Period - Previous Period)</t>
  </si>
  <si>
    <t>Selling, general and administrative Operating Expenses (Current Period - Previous Period)</t>
  </si>
  <si>
    <t>Total assets (Current Period - Previous Period)</t>
  </si>
  <si>
    <t>Total liabilities (Current Period - Previous Period)</t>
  </si>
  <si>
    <t>Total shareholders’ equity (Current Period - Previous Period)</t>
  </si>
  <si>
    <t xml:space="preserve">Total assets </t>
  </si>
  <si>
    <t xml:space="preserve">Total shareholders’ equity </t>
  </si>
  <si>
    <t>margins/ as a % of net sales for the following:</t>
  </si>
  <si>
    <t>(COGS/Net Sales)*100</t>
  </si>
  <si>
    <t>(Gross Profits/Net Sales) *100</t>
  </si>
  <si>
    <t>(Research and development/Net Sales)*100</t>
  </si>
  <si>
    <t>(Selling, general and administrative/Net Sales) * 100</t>
  </si>
  <si>
    <t>(Operating income/Net Sales) * 100</t>
  </si>
  <si>
    <t>(Net profit/ Net Sales) * 100</t>
  </si>
  <si>
    <t>((Current Year PPE - Previous Year PPE + Dep Exp for current year)/sales)*100</t>
  </si>
  <si>
    <t>((Current Year PPE - Previous Year PPE + Dep Exp for current year)/Fixed Assets)*100</t>
  </si>
  <si>
    <t>Cash+Mrt.sec. + Recieveables</t>
  </si>
  <si>
    <t>Daily Cash Expenses  (Operating Expenses/365)</t>
  </si>
  <si>
    <t>(Average Accounts Payable/ COGS)*365</t>
  </si>
  <si>
    <t>Average Accounts Payable</t>
  </si>
  <si>
    <t xml:space="preserve">Average Accounts Reciveable </t>
  </si>
  <si>
    <r>
      <t xml:space="preserve">Net trading cycle </t>
    </r>
    <r>
      <rPr>
        <b/>
        <sz val="11"/>
        <color theme="1"/>
        <rFont val="Calibri"/>
        <family val="2"/>
        <scheme val="minor"/>
      </rPr>
      <t>CCC</t>
    </r>
  </si>
  <si>
    <t xml:space="preserve">Gross Profit/ Revenue </t>
  </si>
  <si>
    <t xml:space="preserve">Cash From Operations - Capital Expenditures+ Net Debt Issued. </t>
  </si>
  <si>
    <t xml:space="preserve">FCFE/No of Shares </t>
  </si>
  <si>
    <t xml:space="preserve">Average Total Assets/ Average Total Capital </t>
  </si>
  <si>
    <t xml:space="preserve">Total Assets - Total Liabilities / Common Shares Outstanding </t>
  </si>
  <si>
    <t>EV/EBITDA</t>
  </si>
  <si>
    <t xml:space="preserve">Additional Items </t>
  </si>
  <si>
    <t>Daily Operational Expenses = (Annual Operating Expenses - Noncash Charges) / 365</t>
  </si>
  <si>
    <t xml:space="preserve"> Note that the income statement is in millions while the share count is in absolute value, therefore, please divide the share count by 1,000</t>
  </si>
  <si>
    <t>Link dividend from cash flow statement and  note that the income statement is in millions while the share count is in absolute value, therefore, please divide the share count by 1,000</t>
  </si>
  <si>
    <t>Net Income / Shareholders Equity</t>
  </si>
  <si>
    <t>EBIT / Capital Employed where Capital Employed = Equity + Term Debt</t>
  </si>
  <si>
    <t>Market Cap + Total Debt - (Cash + Cash Equivalents),  Note that the income statement is in millions while the share count is in absolute value, therefore, please divide the share count by 1,000</t>
  </si>
  <si>
    <t>Average inventory calculation C39+B39/2 should be bracketed (C39+B39)/2</t>
  </si>
  <si>
    <t xml:space="preserve">Average payable calculation should be bracketed </t>
  </si>
  <si>
    <t xml:space="preserve">Average receivable calculation should be bracketed </t>
  </si>
  <si>
    <t>Capex in cash flow is a negative figure, therefore, it becomes positive when you link it with -</t>
  </si>
  <si>
    <t xml:space="preserve">Average assets calculation should be bracketed </t>
  </si>
  <si>
    <t xml:space="preserve">Average calculation should be bracketed </t>
  </si>
  <si>
    <t>Feedback</t>
  </si>
  <si>
    <t>Non cash expenses (D&amp;E Expenses +Share based compensation)</t>
  </si>
  <si>
    <t>share count / 1000</t>
  </si>
  <si>
    <t xml:space="preserve">Dividend Per Share </t>
  </si>
  <si>
    <t xml:space="preserve">Net Income/shareholders equity </t>
  </si>
  <si>
    <t>Capital Employed  = Equity + Term Debt</t>
  </si>
  <si>
    <t>EBIT/(Equity + Term Debt)</t>
  </si>
  <si>
    <t xml:space="preserve">Market Cap (share price*share count) </t>
  </si>
  <si>
    <t xml:space="preserve">Market Cap + total debt </t>
  </si>
  <si>
    <t>Market Cap + total debt - (Cash and Equvivalent)</t>
  </si>
  <si>
    <t xml:space="preserve">Net debt issued </t>
  </si>
  <si>
    <t>Link dividend in cash flow using - sign</t>
  </si>
  <si>
    <t>Include only Term Debt + Shareholder Equity only, other components in long term liabilities such as deferred revenue are not actual capital</t>
  </si>
  <si>
    <t>Include only Term Debt, other components in long term liabilities such as deferred revenue are not actual capital</t>
  </si>
  <si>
    <t>Check the columns linked, inventory in average calculation is linked to the wrong cell in column E, which is blank. If you cant find the previous year value, you don’t need to calculate average, you can take the relevant period value only</t>
  </si>
  <si>
    <t>(Average Accounts Receivables/Revenue)* 365</t>
  </si>
  <si>
    <t>(Inventory Days +Receivable Dayable-Payable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</si>
</sst>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_(* #,##0_);_(* \(#,##0\);_(* &quot;-&quot;??_);_(@_)"/>
    <numFmt numFmtId="166" formatCode="0.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theme="0"/>
      <name val="Calibri"/>
      <family val="2"/>
      <scheme val="minor"/>
    </font>
    <font>
      <b/>
      <sz val="20"/>
      <color theme="0"/>
      <name val="Calibri"/>
      <family val="2"/>
      <scheme val="minor"/>
    </font>
    <font>
      <u/>
      <sz val="11"/>
      <color theme="10"/>
      <name val="Calibri"/>
      <family val="2"/>
      <scheme val="minor"/>
    </font>
    <font>
      <sz val="20"/>
      <color theme="0"/>
      <name val="Calibri"/>
      <family val="2"/>
      <scheme val="minor"/>
    </font>
    <font>
      <sz val="11"/>
      <color rgb="FF000000"/>
      <name val="Calibri"/>
      <family val="2"/>
      <scheme val="minor"/>
    </font>
    <font>
      <sz val="8"/>
      <name val="Calibri"/>
      <family val="2"/>
      <scheme val="minor"/>
    </font>
    <font>
      <sz val="11"/>
      <color rgb="FFFF0000"/>
      <name val="Calibri"/>
      <family val="2"/>
      <scheme val="minor"/>
    </font>
    <font>
      <sz val="11"/>
      <color rgb="FFC00000"/>
      <name val="Calibri"/>
      <family val="2"/>
      <scheme val="minor"/>
    </font>
  </fonts>
  <fills count="6">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0"/>
        <bgColor indexed="64"/>
      </patternFill>
    </fill>
    <fill>
      <patternFill patternType="solid">
        <fgColor rgb="FF0FDD85"/>
        <bgColor indexed="64"/>
      </patternFill>
    </fill>
  </fills>
  <borders count="4">
    <border>
      <left/>
      <right/>
      <top/>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6" fillId="0" borderId="0" applyNumberFormat="0" applyFill="0" applyBorder="0" applyAlignment="0" applyProtection="0"/>
  </cellStyleXfs>
  <cellXfs count="41">
    <xf numFmtId="0" fontId="0" fillId="0" borderId="0" xfId="0"/>
    <xf numFmtId="0" fontId="0" fillId="0" borderId="0" xfId="0" applyAlignment="1">
      <alignment horizontal="left" indent="1"/>
    </xf>
    <xf numFmtId="0" fontId="0" fillId="0" borderId="0" xfId="0" applyAlignment="1">
      <alignment horizontal="left" indent="2"/>
    </xf>
    <xf numFmtId="0" fontId="3" fillId="2" borderId="0" xfId="0" applyFont="1" applyFill="1"/>
    <xf numFmtId="0" fontId="4" fillId="2" borderId="0" xfId="0" applyFont="1" applyFill="1"/>
    <xf numFmtId="0" fontId="5" fillId="2" borderId="0" xfId="0" applyFont="1" applyFill="1" applyAlignment="1">
      <alignment vertical="center"/>
    </xf>
    <xf numFmtId="0" fontId="2" fillId="0" borderId="0" xfId="0" applyFont="1"/>
    <xf numFmtId="0" fontId="2" fillId="0" borderId="0" xfId="0" applyFont="1" applyAlignment="1">
      <alignment horizontal="left" indent="1"/>
    </xf>
    <xf numFmtId="165" fontId="0" fillId="0" borderId="0" xfId="1" applyNumberFormat="1" applyFont="1"/>
    <xf numFmtId="0" fontId="6" fillId="0" borderId="0" xfId="2" applyAlignment="1">
      <alignment horizontal="left" indent="1"/>
    </xf>
    <xf numFmtId="0" fontId="2" fillId="0" borderId="0" xfId="0" applyFont="1" applyAlignment="1">
      <alignment horizontal="left"/>
    </xf>
    <xf numFmtId="166" fontId="0" fillId="0" borderId="0" xfId="0" applyNumberFormat="1"/>
    <xf numFmtId="0" fontId="3" fillId="2" borderId="0" xfId="0" applyFont="1" applyFill="1" applyAlignment="1">
      <alignment horizontal="center"/>
    </xf>
    <xf numFmtId="0" fontId="7" fillId="2" borderId="0" xfId="0" applyFont="1" applyFill="1" applyAlignment="1">
      <alignment horizontal="left"/>
    </xf>
    <xf numFmtId="165" fontId="0" fillId="0" borderId="0" xfId="0" applyNumberFormat="1"/>
    <xf numFmtId="165" fontId="0" fillId="4" borderId="0" xfId="1" applyNumberFormat="1" applyFont="1" applyFill="1"/>
    <xf numFmtId="165" fontId="0" fillId="0" borderId="0" xfId="1" applyNumberFormat="1" applyFont="1" applyFill="1"/>
    <xf numFmtId="164" fontId="0" fillId="0" borderId="0" xfId="0" applyNumberFormat="1"/>
    <xf numFmtId="0" fontId="8" fillId="0" borderId="0" xfId="0" applyFont="1" applyAlignment="1">
      <alignment horizontal="left" indent="1"/>
    </xf>
    <xf numFmtId="0" fontId="0" fillId="5" borderId="0" xfId="0" applyFill="1"/>
    <xf numFmtId="0" fontId="2" fillId="0" borderId="2" xfId="0" applyFont="1" applyBorder="1"/>
    <xf numFmtId="0" fontId="2" fillId="0" borderId="1" xfId="0" applyFont="1" applyBorder="1"/>
    <xf numFmtId="165" fontId="2" fillId="0" borderId="1" xfId="1" applyNumberFormat="1" applyFont="1" applyFill="1" applyBorder="1"/>
    <xf numFmtId="165" fontId="2" fillId="0" borderId="2" xfId="1" applyNumberFormat="1" applyFont="1" applyFill="1" applyBorder="1"/>
    <xf numFmtId="3" fontId="0" fillId="0" borderId="0" xfId="0" applyNumberFormat="1"/>
    <xf numFmtId="0" fontId="2" fillId="0" borderId="3" xfId="0" applyFont="1" applyBorder="1" applyAlignment="1">
      <alignment horizontal="left"/>
    </xf>
    <xf numFmtId="165" fontId="0" fillId="0" borderId="3" xfId="1" applyNumberFormat="1" applyFont="1" applyFill="1" applyBorder="1"/>
    <xf numFmtId="165" fontId="2" fillId="0" borderId="0" xfId="1" applyNumberFormat="1" applyFont="1" applyFill="1"/>
    <xf numFmtId="2" fontId="0" fillId="0" borderId="0" xfId="0" applyNumberFormat="1"/>
    <xf numFmtId="0" fontId="10" fillId="0" borderId="0" xfId="0" applyFont="1"/>
    <xf numFmtId="165" fontId="10" fillId="0" borderId="0" xfId="1" applyNumberFormat="1" applyFont="1" applyFill="1"/>
    <xf numFmtId="0" fontId="11" fillId="0" borderId="0" xfId="0" applyFont="1" applyFill="1" applyAlignment="1">
      <alignment horizontal="left" indent="1"/>
    </xf>
    <xf numFmtId="0" fontId="0" fillId="0" borderId="0" xfId="0" applyFill="1" applyAlignment="1">
      <alignment horizontal="left" indent="1"/>
    </xf>
    <xf numFmtId="166" fontId="0" fillId="0" borderId="0" xfId="0" applyNumberFormat="1" applyFill="1"/>
    <xf numFmtId="0" fontId="0" fillId="0" borderId="0" xfId="0" applyFill="1"/>
    <xf numFmtId="0" fontId="11" fillId="0" borderId="0" xfId="0" applyFont="1" applyFill="1" applyAlignment="1">
      <alignment horizontal="left" indent="2"/>
    </xf>
    <xf numFmtId="0" fontId="0" fillId="0" borderId="0" xfId="0" applyFill="1" applyAlignment="1">
      <alignment horizontal="left" indent="2"/>
    </xf>
    <xf numFmtId="0" fontId="2" fillId="0" borderId="0" xfId="0" applyFont="1" applyFill="1" applyAlignment="1">
      <alignment horizontal="left"/>
    </xf>
    <xf numFmtId="1" fontId="0" fillId="0" borderId="0" xfId="0" applyNumberFormat="1" applyFill="1"/>
    <xf numFmtId="0" fontId="2" fillId="0" borderId="0" xfId="0" applyFont="1" applyAlignment="1">
      <alignment horizontal="center"/>
    </xf>
    <xf numFmtId="0" fontId="2" fillId="3" borderId="0" xfId="0" applyFont="1" applyFill="1" applyAlignment="1">
      <alignment horizontal="center"/>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A2D0EC"/>
      <color rgb="FF0FDD85"/>
      <color rgb="FFE94BE2"/>
      <color rgb="FF3E13CE"/>
      <color rgb="FFA3A2EC"/>
      <color rgb="FFE96D62"/>
      <color rgb="FFEAA144"/>
      <color rgb="FFD74111"/>
      <color rgb="FFBAD8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loomberg.com/quote/AAPL:US" TargetMode="External"/><Relationship Id="rId1" Type="http://schemas.openxmlformats.org/officeDocument/2006/relationships/hyperlink" Target="https://investor.apple.com/investor-relations/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workbookViewId="0">
      <selection activeCell="A27" sqref="A27"/>
    </sheetView>
  </sheetViews>
  <sheetFormatPr defaultColWidth="8.77734375" defaultRowHeight="14.4" x14ac:dyDescent="0.3"/>
  <cols>
    <col min="1" max="1" width="104.44140625" customWidth="1"/>
  </cols>
  <sheetData>
    <row r="1" spans="1:1" ht="23.4" x14ac:dyDescent="0.45">
      <c r="A1" s="4" t="s">
        <v>87</v>
      </c>
    </row>
    <row r="3" spans="1:1" x14ac:dyDescent="0.3">
      <c r="A3" s="6" t="s">
        <v>140</v>
      </c>
    </row>
    <row r="4" spans="1:1" x14ac:dyDescent="0.3">
      <c r="A4" s="9" t="s">
        <v>88</v>
      </c>
    </row>
    <row r="5" spans="1:1" x14ac:dyDescent="0.3">
      <c r="A5" s="6" t="s">
        <v>97</v>
      </c>
    </row>
    <row r="6" spans="1:1" x14ac:dyDescent="0.3">
      <c r="A6" s="1" t="s">
        <v>147</v>
      </c>
    </row>
    <row r="7" spans="1:1" x14ac:dyDescent="0.3">
      <c r="A7" s="1"/>
    </row>
    <row r="8" spans="1:1" x14ac:dyDescent="0.3">
      <c r="A8" s="10" t="s">
        <v>148</v>
      </c>
    </row>
    <row r="9" spans="1:1" x14ac:dyDescent="0.3">
      <c r="A9" s="1" t="s">
        <v>144</v>
      </c>
    </row>
    <row r="10" spans="1:1" x14ac:dyDescent="0.3">
      <c r="A10" s="1" t="s">
        <v>89</v>
      </c>
    </row>
    <row r="11" spans="1:1" x14ac:dyDescent="0.3">
      <c r="A11" s="1" t="s">
        <v>90</v>
      </c>
    </row>
    <row r="12" spans="1:1" x14ac:dyDescent="0.3">
      <c r="A12" s="1" t="s">
        <v>91</v>
      </c>
    </row>
    <row r="13" spans="1:1" x14ac:dyDescent="0.3">
      <c r="A13" s="1"/>
    </row>
    <row r="14" spans="1:1" x14ac:dyDescent="0.3">
      <c r="A14" s="10" t="s">
        <v>92</v>
      </c>
    </row>
    <row r="15" spans="1:1" x14ac:dyDescent="0.3">
      <c r="A15" s="1" t="s">
        <v>145</v>
      </c>
    </row>
    <row r="16" spans="1:1" x14ac:dyDescent="0.3">
      <c r="A16" s="1" t="s">
        <v>89</v>
      </c>
    </row>
    <row r="17" spans="1:1" x14ac:dyDescent="0.3">
      <c r="A17" s="1" t="s">
        <v>90</v>
      </c>
    </row>
    <row r="18" spans="1:1" x14ac:dyDescent="0.3">
      <c r="A18" s="1" t="s">
        <v>14</v>
      </c>
    </row>
    <row r="19" spans="1:1" x14ac:dyDescent="0.3">
      <c r="A19" s="1" t="s">
        <v>93</v>
      </c>
    </row>
    <row r="20" spans="1:1" x14ac:dyDescent="0.3">
      <c r="A20" s="1"/>
    </row>
    <row r="21" spans="1:1" x14ac:dyDescent="0.3">
      <c r="A21" s="10" t="s">
        <v>98</v>
      </c>
    </row>
    <row r="22" spans="1:1" x14ac:dyDescent="0.3">
      <c r="A22" s="1" t="s">
        <v>94</v>
      </c>
    </row>
    <row r="23" spans="1:1" x14ac:dyDescent="0.3">
      <c r="A23" s="1" t="s">
        <v>95</v>
      </c>
    </row>
    <row r="24" spans="1:1" x14ac:dyDescent="0.3">
      <c r="A24" s="1" t="s">
        <v>96</v>
      </c>
    </row>
    <row r="25" spans="1:1" x14ac:dyDescent="0.3">
      <c r="A25" s="1"/>
    </row>
    <row r="26" spans="1:1" x14ac:dyDescent="0.3">
      <c r="A26" s="10" t="s">
        <v>143</v>
      </c>
    </row>
    <row r="27" spans="1:1" x14ac:dyDescent="0.3">
      <c r="A27" s="9" t="s">
        <v>142</v>
      </c>
    </row>
    <row r="29" spans="1:1" x14ac:dyDescent="0.3">
      <c r="A29" s="6" t="s">
        <v>146</v>
      </c>
    </row>
  </sheetData>
  <hyperlinks>
    <hyperlink ref="A4" r:id="rId1"/>
    <hyperlink ref="A27"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topLeftCell="A25" zoomScale="107" zoomScaleNormal="140" workbookViewId="0">
      <selection activeCell="D48" sqref="D48"/>
    </sheetView>
  </sheetViews>
  <sheetFormatPr defaultColWidth="8.77734375" defaultRowHeight="14.4" x14ac:dyDescent="0.3"/>
  <cols>
    <col min="1" max="1" width="59" customWidth="1"/>
    <col min="2" max="3" width="11.44140625" bestFit="1" customWidth="1"/>
    <col min="4" max="4" width="11.6640625" bestFit="1" customWidth="1"/>
    <col min="5" max="5" width="10.109375" bestFit="1" customWidth="1"/>
  </cols>
  <sheetData>
    <row r="1" spans="1:10" ht="60" customHeight="1" x14ac:dyDescent="0.3">
      <c r="A1" s="5" t="s">
        <v>0</v>
      </c>
      <c r="B1" s="3" t="s">
        <v>2</v>
      </c>
      <c r="C1" s="3"/>
      <c r="D1" s="3"/>
      <c r="E1" s="3"/>
      <c r="F1" s="3"/>
      <c r="G1" s="3"/>
      <c r="H1" s="3"/>
      <c r="I1" s="3"/>
      <c r="J1" s="3"/>
    </row>
    <row r="2" spans="1:10" x14ac:dyDescent="0.3">
      <c r="A2" s="40" t="s">
        <v>1</v>
      </c>
      <c r="B2" s="40"/>
      <c r="C2" s="40"/>
      <c r="D2" s="40"/>
    </row>
    <row r="3" spans="1:10" x14ac:dyDescent="0.3">
      <c r="B3" s="39" t="s">
        <v>23</v>
      </c>
      <c r="C3" s="39"/>
      <c r="D3" s="39"/>
    </row>
    <row r="4" spans="1:10" x14ac:dyDescent="0.3">
      <c r="B4" s="6">
        <v>2022</v>
      </c>
      <c r="C4" s="6">
        <v>2021</v>
      </c>
      <c r="D4" s="6">
        <v>2020</v>
      </c>
    </row>
    <row r="5" spans="1:10" x14ac:dyDescent="0.3">
      <c r="A5" t="s">
        <v>3</v>
      </c>
    </row>
    <row r="6" spans="1:10" x14ac:dyDescent="0.3">
      <c r="A6" s="1" t="s">
        <v>4</v>
      </c>
      <c r="B6" s="16">
        <v>316199</v>
      </c>
      <c r="C6" s="16">
        <v>297392</v>
      </c>
      <c r="D6" s="16">
        <v>220747</v>
      </c>
    </row>
    <row r="7" spans="1:10" x14ac:dyDescent="0.3">
      <c r="A7" s="1" t="s">
        <v>5</v>
      </c>
      <c r="B7" s="16">
        <v>78129</v>
      </c>
      <c r="C7" s="16">
        <v>68425</v>
      </c>
      <c r="D7" s="16">
        <v>53768</v>
      </c>
    </row>
    <row r="8" spans="1:10" x14ac:dyDescent="0.3">
      <c r="A8" s="21" t="s">
        <v>6</v>
      </c>
      <c r="B8" s="22">
        <f>+B6+B7</f>
        <v>394328</v>
      </c>
      <c r="C8" s="22">
        <f t="shared" ref="C8:D8" si="0">+C6+C7</f>
        <v>365817</v>
      </c>
      <c r="D8" s="22">
        <f t="shared" si="0"/>
        <v>274515</v>
      </c>
    </row>
    <row r="9" spans="1:10" x14ac:dyDescent="0.3">
      <c r="A9" t="s">
        <v>7</v>
      </c>
      <c r="B9" s="16"/>
      <c r="C9" s="16"/>
      <c r="D9" s="16"/>
    </row>
    <row r="10" spans="1:10" x14ac:dyDescent="0.3">
      <c r="A10" s="1" t="s">
        <v>4</v>
      </c>
      <c r="B10" s="16">
        <v>201471</v>
      </c>
      <c r="C10" s="16">
        <v>192266</v>
      </c>
      <c r="D10" s="16">
        <v>151286</v>
      </c>
    </row>
    <row r="11" spans="1:10" x14ac:dyDescent="0.3">
      <c r="A11" s="1" t="s">
        <v>5</v>
      </c>
      <c r="B11" s="16">
        <v>22075</v>
      </c>
      <c r="C11" s="16">
        <v>20715</v>
      </c>
      <c r="D11" s="16">
        <v>18273</v>
      </c>
    </row>
    <row r="12" spans="1:10" x14ac:dyDescent="0.3">
      <c r="A12" s="21" t="s">
        <v>8</v>
      </c>
      <c r="B12" s="22">
        <f>+B10+B11</f>
        <v>223546</v>
      </c>
      <c r="C12" s="22">
        <f t="shared" ref="C12:D12" si="1">+C10+C11</f>
        <v>212981</v>
      </c>
      <c r="D12" s="22">
        <f t="shared" si="1"/>
        <v>169559</v>
      </c>
    </row>
    <row r="13" spans="1:10" x14ac:dyDescent="0.3">
      <c r="A13" s="21" t="s">
        <v>9</v>
      </c>
      <c r="B13" s="22">
        <f>+B8-B12</f>
        <v>170782</v>
      </c>
      <c r="C13" s="22">
        <f t="shared" ref="C13:D13" si="2">+C8-C12</f>
        <v>152836</v>
      </c>
      <c r="D13" s="22">
        <f t="shared" si="2"/>
        <v>104956</v>
      </c>
    </row>
    <row r="14" spans="1:10" x14ac:dyDescent="0.3">
      <c r="A14" t="s">
        <v>10</v>
      </c>
      <c r="B14" s="16"/>
      <c r="C14" s="16"/>
      <c r="D14" s="16"/>
    </row>
    <row r="15" spans="1:10" x14ac:dyDescent="0.3">
      <c r="A15" s="1" t="s">
        <v>11</v>
      </c>
      <c r="B15" s="16">
        <v>26251</v>
      </c>
      <c r="C15" s="16">
        <v>21914</v>
      </c>
      <c r="D15" s="16">
        <v>18752</v>
      </c>
    </row>
    <row r="16" spans="1:10" x14ac:dyDescent="0.3">
      <c r="A16" s="1" t="s">
        <v>12</v>
      </c>
      <c r="B16" s="16">
        <v>25094</v>
      </c>
      <c r="C16" s="16">
        <v>21973</v>
      </c>
      <c r="D16" s="16">
        <v>19916</v>
      </c>
    </row>
    <row r="17" spans="1:5" x14ac:dyDescent="0.3">
      <c r="A17" s="21" t="s">
        <v>13</v>
      </c>
      <c r="B17" s="22">
        <f>+B15+B16</f>
        <v>51345</v>
      </c>
      <c r="C17" s="22">
        <f t="shared" ref="C17" si="3">+C15+C16</f>
        <v>43887</v>
      </c>
      <c r="D17" s="22">
        <f t="shared" ref="D17" si="4">+D15+D16</f>
        <v>38668</v>
      </c>
    </row>
    <row r="18" spans="1:5" s="6" customFormat="1" x14ac:dyDescent="0.3">
      <c r="A18" s="21" t="s">
        <v>14</v>
      </c>
      <c r="B18" s="22">
        <f>+B13-B17</f>
        <v>119437</v>
      </c>
      <c r="C18" s="22">
        <f t="shared" ref="C18:D18" si="5">+C13-C17</f>
        <v>108949</v>
      </c>
      <c r="D18" s="22">
        <f t="shared" si="5"/>
        <v>66288</v>
      </c>
      <c r="E18" t="s">
        <v>176</v>
      </c>
    </row>
    <row r="19" spans="1:5" x14ac:dyDescent="0.3">
      <c r="A19" t="s">
        <v>15</v>
      </c>
      <c r="B19" s="16">
        <v>-334</v>
      </c>
      <c r="C19" s="16">
        <v>258</v>
      </c>
      <c r="D19" s="16">
        <v>803</v>
      </c>
    </row>
    <row r="20" spans="1:5" x14ac:dyDescent="0.3">
      <c r="A20" s="21" t="s">
        <v>16</v>
      </c>
      <c r="B20" s="22">
        <f>+B18+B19</f>
        <v>119103</v>
      </c>
      <c r="C20" s="22">
        <f t="shared" ref="C20:D20" si="6">+C18+C19</f>
        <v>109207</v>
      </c>
      <c r="D20" s="22">
        <f t="shared" si="6"/>
        <v>67091</v>
      </c>
    </row>
    <row r="21" spans="1:5" x14ac:dyDescent="0.3">
      <c r="A21" t="s">
        <v>17</v>
      </c>
      <c r="B21" s="16">
        <v>19300</v>
      </c>
      <c r="C21" s="16">
        <v>14527</v>
      </c>
      <c r="D21" s="16">
        <v>9680</v>
      </c>
    </row>
    <row r="22" spans="1:5" ht="15" thickBot="1" x14ac:dyDescent="0.35">
      <c r="A22" s="20" t="s">
        <v>18</v>
      </c>
      <c r="B22" s="23">
        <f>+B20-B21</f>
        <v>99803</v>
      </c>
      <c r="C22" s="23">
        <f t="shared" ref="C22:D22" si="7">+C20-C21</f>
        <v>94680</v>
      </c>
      <c r="D22" s="23">
        <f t="shared" si="7"/>
        <v>57411</v>
      </c>
    </row>
    <row r="23" spans="1:5" ht="15" thickTop="1" x14ac:dyDescent="0.3">
      <c r="A23" t="s">
        <v>19</v>
      </c>
    </row>
    <row r="24" spans="1:5" x14ac:dyDescent="0.3">
      <c r="A24" s="1" t="s">
        <v>20</v>
      </c>
      <c r="B24">
        <v>6.15</v>
      </c>
      <c r="C24">
        <v>5.67</v>
      </c>
      <c r="D24">
        <v>3.31</v>
      </c>
    </row>
    <row r="25" spans="1:5" x14ac:dyDescent="0.3">
      <c r="A25" s="1" t="s">
        <v>21</v>
      </c>
      <c r="B25">
        <v>6.11</v>
      </c>
      <c r="C25">
        <v>5.61</v>
      </c>
      <c r="D25">
        <v>3.28</v>
      </c>
    </row>
    <row r="26" spans="1:5" x14ac:dyDescent="0.3">
      <c r="A26" t="s">
        <v>22</v>
      </c>
    </row>
    <row r="27" spans="1:5" x14ac:dyDescent="0.3">
      <c r="A27" s="1" t="s">
        <v>20</v>
      </c>
      <c r="B27" s="24">
        <v>16215963</v>
      </c>
      <c r="C27" s="24">
        <v>16701272</v>
      </c>
      <c r="D27" s="24">
        <v>17352119</v>
      </c>
    </row>
    <row r="28" spans="1:5" x14ac:dyDescent="0.3">
      <c r="A28" s="1" t="s">
        <v>21</v>
      </c>
      <c r="B28" s="24">
        <v>16325819</v>
      </c>
      <c r="C28" s="24">
        <v>16864919</v>
      </c>
      <c r="D28" s="24">
        <v>17528214</v>
      </c>
    </row>
    <row r="31" spans="1:5" x14ac:dyDescent="0.3">
      <c r="A31" s="39" t="s">
        <v>24</v>
      </c>
      <c r="B31" s="39"/>
      <c r="C31" s="39"/>
      <c r="D31" s="39"/>
    </row>
    <row r="32" spans="1:5" x14ac:dyDescent="0.3">
      <c r="B32" s="39" t="s">
        <v>141</v>
      </c>
      <c r="C32" s="39"/>
      <c r="D32" s="39"/>
    </row>
    <row r="33" spans="1:6" x14ac:dyDescent="0.3">
      <c r="B33" s="6">
        <f>+B4</f>
        <v>2022</v>
      </c>
      <c r="C33" s="6">
        <f t="shared" ref="C33:D33" si="8">+C4</f>
        <v>2021</v>
      </c>
      <c r="D33" s="6">
        <f t="shared" si="8"/>
        <v>2020</v>
      </c>
    </row>
    <row r="35" spans="1:6" x14ac:dyDescent="0.3">
      <c r="A35" t="s">
        <v>25</v>
      </c>
    </row>
    <row r="36" spans="1:6" x14ac:dyDescent="0.3">
      <c r="A36" s="1" t="s">
        <v>26</v>
      </c>
      <c r="B36" s="16">
        <v>23646</v>
      </c>
      <c r="C36" s="16">
        <v>34940</v>
      </c>
      <c r="D36" s="16">
        <v>38016</v>
      </c>
    </row>
    <row r="37" spans="1:6" x14ac:dyDescent="0.3">
      <c r="A37" s="1" t="s">
        <v>27</v>
      </c>
      <c r="B37" s="16">
        <v>24658</v>
      </c>
      <c r="C37" s="16">
        <v>27699</v>
      </c>
      <c r="D37" s="16">
        <v>52927</v>
      </c>
    </row>
    <row r="38" spans="1:6" x14ac:dyDescent="0.3">
      <c r="A38" s="1" t="s">
        <v>28</v>
      </c>
      <c r="B38" s="16">
        <v>28184</v>
      </c>
      <c r="C38" s="16">
        <v>26278</v>
      </c>
      <c r="D38" s="16">
        <v>16120</v>
      </c>
      <c r="F38" s="14"/>
    </row>
    <row r="39" spans="1:6" x14ac:dyDescent="0.3">
      <c r="A39" s="1" t="s">
        <v>29</v>
      </c>
      <c r="B39" s="16">
        <v>4946</v>
      </c>
      <c r="C39" s="16">
        <v>6580</v>
      </c>
      <c r="D39" s="16">
        <v>4061</v>
      </c>
      <c r="F39" s="14"/>
    </row>
    <row r="40" spans="1:6" x14ac:dyDescent="0.3">
      <c r="A40" s="1" t="s">
        <v>47</v>
      </c>
      <c r="B40" s="16">
        <v>32748</v>
      </c>
      <c r="C40" s="16">
        <v>25228</v>
      </c>
      <c r="D40" s="16">
        <v>21325</v>
      </c>
    </row>
    <row r="41" spans="1:6" x14ac:dyDescent="0.3">
      <c r="A41" s="1" t="s">
        <v>30</v>
      </c>
      <c r="B41" s="16">
        <v>21223</v>
      </c>
      <c r="C41" s="16">
        <v>14111</v>
      </c>
      <c r="D41" s="16">
        <v>11264</v>
      </c>
    </row>
    <row r="42" spans="1:6" x14ac:dyDescent="0.3">
      <c r="A42" s="21" t="s">
        <v>31</v>
      </c>
      <c r="B42" s="22">
        <f>+SUM(B36:B41)</f>
        <v>135405</v>
      </c>
      <c r="C42" s="22">
        <f t="shared" ref="C42:D42" si="9">+SUM(C36:C41)</f>
        <v>134836</v>
      </c>
      <c r="D42" s="22">
        <f t="shared" si="9"/>
        <v>143713</v>
      </c>
    </row>
    <row r="43" spans="1:6" x14ac:dyDescent="0.3">
      <c r="A43" t="s">
        <v>48</v>
      </c>
      <c r="B43" s="16"/>
      <c r="C43" s="16"/>
      <c r="D43" s="16"/>
    </row>
    <row r="44" spans="1:6" x14ac:dyDescent="0.3">
      <c r="A44" s="1" t="s">
        <v>27</v>
      </c>
      <c r="B44" s="16">
        <v>120805</v>
      </c>
      <c r="C44" s="16">
        <v>127877</v>
      </c>
      <c r="D44" s="16">
        <v>100887</v>
      </c>
    </row>
    <row r="45" spans="1:6" x14ac:dyDescent="0.3">
      <c r="A45" s="1" t="s">
        <v>32</v>
      </c>
      <c r="B45" s="16">
        <v>42117</v>
      </c>
      <c r="C45" s="16">
        <v>39440</v>
      </c>
      <c r="D45" s="16">
        <v>36766</v>
      </c>
    </row>
    <row r="46" spans="1:6" x14ac:dyDescent="0.3">
      <c r="A46" s="1" t="s">
        <v>49</v>
      </c>
      <c r="B46" s="16">
        <v>54428</v>
      </c>
      <c r="C46" s="16">
        <v>48849</v>
      </c>
      <c r="D46" s="16">
        <v>42522</v>
      </c>
    </row>
    <row r="47" spans="1:6" x14ac:dyDescent="0.3">
      <c r="A47" s="21" t="s">
        <v>50</v>
      </c>
      <c r="B47" s="22">
        <f>+SUM(B44:B46)</f>
        <v>217350</v>
      </c>
      <c r="C47" s="22">
        <f t="shared" ref="C47:D47" si="10">+SUM(C44:C46)</f>
        <v>216166</v>
      </c>
      <c r="D47" s="22">
        <f t="shared" si="10"/>
        <v>180175</v>
      </c>
    </row>
    <row r="48" spans="1:6" ht="15" thickBot="1" x14ac:dyDescent="0.35">
      <c r="A48" s="20" t="s">
        <v>33</v>
      </c>
      <c r="B48" s="23">
        <f>+B42+B47</f>
        <v>352755</v>
      </c>
      <c r="C48" s="23">
        <f t="shared" ref="C48:D48" si="11">+C42+C47</f>
        <v>351002</v>
      </c>
      <c r="D48" s="23">
        <f t="shared" si="11"/>
        <v>323888</v>
      </c>
    </row>
    <row r="49" spans="1:4" ht="15" thickTop="1" x14ac:dyDescent="0.3"/>
    <row r="50" spans="1:4" x14ac:dyDescent="0.3">
      <c r="A50" t="s">
        <v>34</v>
      </c>
    </row>
    <row r="51" spans="1:4" x14ac:dyDescent="0.3">
      <c r="A51" s="1" t="s">
        <v>35</v>
      </c>
      <c r="B51" s="16">
        <v>64115</v>
      </c>
      <c r="C51" s="16">
        <v>54763</v>
      </c>
      <c r="D51" s="16">
        <v>42296</v>
      </c>
    </row>
    <row r="52" spans="1:4" x14ac:dyDescent="0.3">
      <c r="A52" s="1" t="s">
        <v>36</v>
      </c>
      <c r="B52" s="16">
        <v>60845</v>
      </c>
      <c r="C52" s="16">
        <v>47493</v>
      </c>
      <c r="D52" s="16">
        <v>42684</v>
      </c>
    </row>
    <row r="53" spans="1:4" x14ac:dyDescent="0.3">
      <c r="A53" s="1" t="s">
        <v>37</v>
      </c>
      <c r="B53" s="16">
        <v>7912</v>
      </c>
      <c r="C53" s="16">
        <v>7612</v>
      </c>
      <c r="D53" s="16">
        <v>6643</v>
      </c>
    </row>
    <row r="54" spans="1:4" x14ac:dyDescent="0.3">
      <c r="A54" s="1" t="s">
        <v>38</v>
      </c>
      <c r="B54" s="16">
        <v>9982</v>
      </c>
      <c r="C54" s="16">
        <v>6000</v>
      </c>
      <c r="D54" s="16">
        <v>4996</v>
      </c>
    </row>
    <row r="55" spans="1:4" x14ac:dyDescent="0.3">
      <c r="A55" s="1" t="s">
        <v>39</v>
      </c>
      <c r="B55" s="16">
        <v>11128</v>
      </c>
      <c r="C55" s="16">
        <v>9613</v>
      </c>
      <c r="D55" s="16">
        <v>8773</v>
      </c>
    </row>
    <row r="56" spans="1:4" x14ac:dyDescent="0.3">
      <c r="A56" s="21" t="s">
        <v>40</v>
      </c>
      <c r="B56" s="22">
        <f>+SUM(B51:B55)</f>
        <v>153982</v>
      </c>
      <c r="C56" s="22">
        <f t="shared" ref="C56:D56" si="12">+SUM(C51:C55)</f>
        <v>125481</v>
      </c>
      <c r="D56" s="22">
        <f t="shared" si="12"/>
        <v>105392</v>
      </c>
    </row>
    <row r="57" spans="1:4" x14ac:dyDescent="0.3">
      <c r="A57" t="s">
        <v>51</v>
      </c>
      <c r="B57" s="16"/>
      <c r="C57" s="16"/>
      <c r="D57" s="16"/>
    </row>
    <row r="58" spans="1:4" x14ac:dyDescent="0.3">
      <c r="A58" s="1" t="s">
        <v>37</v>
      </c>
      <c r="B58" s="16"/>
      <c r="C58" s="16"/>
      <c r="D58" s="16"/>
    </row>
    <row r="59" spans="1:4" x14ac:dyDescent="0.3">
      <c r="A59" s="1" t="s">
        <v>39</v>
      </c>
      <c r="B59" s="16">
        <v>98959</v>
      </c>
      <c r="C59" s="16">
        <v>109106</v>
      </c>
      <c r="D59" s="16">
        <v>98667</v>
      </c>
    </row>
    <row r="60" spans="1:4" x14ac:dyDescent="0.3">
      <c r="A60" s="1" t="s">
        <v>52</v>
      </c>
      <c r="B60" s="16">
        <v>49142</v>
      </c>
      <c r="C60" s="16">
        <v>53325</v>
      </c>
      <c r="D60" s="16">
        <v>54490</v>
      </c>
    </row>
    <row r="61" spans="1:4" x14ac:dyDescent="0.3">
      <c r="A61" s="25" t="s">
        <v>53</v>
      </c>
      <c r="B61" s="26">
        <f>+B59+B60</f>
        <v>148101</v>
      </c>
      <c r="C61" s="26">
        <f t="shared" ref="C61:D61" si="13">+C59+C60</f>
        <v>162431</v>
      </c>
      <c r="D61" s="26">
        <f t="shared" si="13"/>
        <v>153157</v>
      </c>
    </row>
    <row r="62" spans="1:4" x14ac:dyDescent="0.3">
      <c r="A62" s="21" t="s">
        <v>41</v>
      </c>
      <c r="B62" s="22">
        <f>+B56+B61</f>
        <v>302083</v>
      </c>
      <c r="C62" s="22">
        <f t="shared" ref="C62:D62" si="14">+C56+C61</f>
        <v>287912</v>
      </c>
      <c r="D62" s="22">
        <f t="shared" si="14"/>
        <v>258549</v>
      </c>
    </row>
    <row r="63" spans="1:4" x14ac:dyDescent="0.3">
      <c r="B63" s="16"/>
      <c r="C63" s="16"/>
      <c r="D63" s="16"/>
    </row>
    <row r="64" spans="1:4" x14ac:dyDescent="0.3">
      <c r="A64" t="s">
        <v>42</v>
      </c>
      <c r="B64" s="16"/>
      <c r="C64" s="16"/>
      <c r="D64" s="16"/>
    </row>
    <row r="65" spans="1:6" x14ac:dyDescent="0.3">
      <c r="A65" s="1" t="s">
        <v>54</v>
      </c>
      <c r="B65" s="16">
        <v>64849</v>
      </c>
      <c r="C65" s="16">
        <v>57365</v>
      </c>
      <c r="D65" s="16">
        <v>50779</v>
      </c>
    </row>
    <row r="66" spans="1:6" x14ac:dyDescent="0.3">
      <c r="A66" s="1" t="s">
        <v>43</v>
      </c>
      <c r="B66" s="16">
        <v>-3068</v>
      </c>
      <c r="C66" s="16">
        <v>5562</v>
      </c>
      <c r="D66" s="16">
        <v>14966</v>
      </c>
    </row>
    <row r="67" spans="1:6" x14ac:dyDescent="0.3">
      <c r="A67" s="1" t="s">
        <v>44</v>
      </c>
      <c r="B67" s="16">
        <v>-11109</v>
      </c>
      <c r="C67" s="16">
        <v>163</v>
      </c>
      <c r="D67" s="16">
        <v>-406</v>
      </c>
    </row>
    <row r="68" spans="1:6" x14ac:dyDescent="0.3">
      <c r="A68" s="21" t="s">
        <v>45</v>
      </c>
      <c r="B68" s="22">
        <f>+SUM(B65:B67)</f>
        <v>50672</v>
      </c>
      <c r="C68" s="22">
        <f t="shared" ref="C68:D68" si="15">+SUM(C65:C67)</f>
        <v>63090</v>
      </c>
      <c r="D68" s="22">
        <f t="shared" si="15"/>
        <v>65339</v>
      </c>
    </row>
    <row r="69" spans="1:6" ht="15" thickBot="1" x14ac:dyDescent="0.35">
      <c r="A69" s="20" t="s">
        <v>46</v>
      </c>
      <c r="B69" s="23">
        <f>+B68+B62</f>
        <v>352755</v>
      </c>
      <c r="C69" s="23">
        <f t="shared" ref="C69:D69" si="16">+C68+C62</f>
        <v>351002</v>
      </c>
      <c r="D69" s="23">
        <f t="shared" si="16"/>
        <v>323888</v>
      </c>
    </row>
    <row r="70" spans="1:6" ht="15" thickTop="1" x14ac:dyDescent="0.3"/>
    <row r="71" spans="1:6" x14ac:dyDescent="0.3">
      <c r="A71" s="39" t="s">
        <v>55</v>
      </c>
      <c r="B71" s="39"/>
      <c r="C71" s="39"/>
      <c r="D71" s="39"/>
    </row>
    <row r="72" spans="1:6" x14ac:dyDescent="0.3">
      <c r="B72" s="39" t="s">
        <v>23</v>
      </c>
      <c r="C72" s="39"/>
      <c r="D72" s="39"/>
    </row>
    <row r="73" spans="1:6" x14ac:dyDescent="0.3">
      <c r="B73" s="6">
        <f>+B33</f>
        <v>2022</v>
      </c>
      <c r="C73" s="6">
        <f t="shared" ref="C73:D73" si="17">+C33</f>
        <v>2021</v>
      </c>
      <c r="D73" s="6">
        <f t="shared" si="17"/>
        <v>2020</v>
      </c>
    </row>
    <row r="75" spans="1:6" x14ac:dyDescent="0.3">
      <c r="A75" s="6" t="s">
        <v>56</v>
      </c>
      <c r="B75" s="27"/>
      <c r="C75" s="27"/>
      <c r="D75" s="27"/>
    </row>
    <row r="76" spans="1:6" x14ac:dyDescent="0.3">
      <c r="A76" t="s">
        <v>57</v>
      </c>
      <c r="B76" s="16">
        <f>+B22</f>
        <v>99803</v>
      </c>
      <c r="C76" s="16">
        <f t="shared" ref="C76:D76" si="18">+C22</f>
        <v>94680</v>
      </c>
      <c r="D76" s="16">
        <f t="shared" si="18"/>
        <v>57411</v>
      </c>
    </row>
    <row r="77" spans="1:6" x14ac:dyDescent="0.3">
      <c r="A77" s="7" t="s">
        <v>18</v>
      </c>
      <c r="B77" s="16">
        <f>B22</f>
        <v>99803</v>
      </c>
      <c r="C77" s="16">
        <f t="shared" ref="C77:D77" si="19">C22</f>
        <v>94680</v>
      </c>
      <c r="D77" s="16">
        <f t="shared" si="19"/>
        <v>57411</v>
      </c>
    </row>
    <row r="78" spans="1:6" x14ac:dyDescent="0.3">
      <c r="A78" s="1" t="s">
        <v>58</v>
      </c>
      <c r="B78" s="16"/>
      <c r="C78" s="16"/>
      <c r="D78" s="16"/>
    </row>
    <row r="79" spans="1:6" x14ac:dyDescent="0.3">
      <c r="A79" s="2" t="s">
        <v>59</v>
      </c>
      <c r="B79" s="16">
        <v>11104</v>
      </c>
      <c r="C79" s="16">
        <v>11284</v>
      </c>
      <c r="D79" s="16">
        <v>11056</v>
      </c>
      <c r="E79" s="14"/>
      <c r="F79" s="15"/>
    </row>
    <row r="80" spans="1:6" x14ac:dyDescent="0.3">
      <c r="A80" s="2" t="s">
        <v>83</v>
      </c>
      <c r="B80" s="16">
        <v>9038</v>
      </c>
      <c r="C80" s="16">
        <v>7906</v>
      </c>
      <c r="D80" s="16">
        <v>6829</v>
      </c>
    </row>
    <row r="81" spans="1:5" x14ac:dyDescent="0.3">
      <c r="A81" s="2" t="s">
        <v>60</v>
      </c>
      <c r="B81" s="16">
        <v>895</v>
      </c>
      <c r="C81" s="16">
        <v>-4774</v>
      </c>
      <c r="D81" s="16">
        <v>-215</v>
      </c>
    </row>
    <row r="82" spans="1:5" x14ac:dyDescent="0.3">
      <c r="A82" s="2" t="s">
        <v>61</v>
      </c>
      <c r="B82" s="16">
        <v>111</v>
      </c>
      <c r="C82" s="16">
        <v>-147</v>
      </c>
      <c r="D82" s="16">
        <v>-97</v>
      </c>
    </row>
    <row r="83" spans="1:5" x14ac:dyDescent="0.3">
      <c r="A83" t="s">
        <v>62</v>
      </c>
      <c r="B83" s="16"/>
      <c r="C83" s="16"/>
      <c r="D83" s="16"/>
    </row>
    <row r="84" spans="1:5" x14ac:dyDescent="0.3">
      <c r="A84" s="1" t="s">
        <v>28</v>
      </c>
      <c r="B84" s="16">
        <v>-1823</v>
      </c>
      <c r="C84" s="16">
        <v>-10125</v>
      </c>
      <c r="D84" s="16">
        <v>6917</v>
      </c>
    </row>
    <row r="85" spans="1:5" x14ac:dyDescent="0.3">
      <c r="A85" s="1" t="s">
        <v>29</v>
      </c>
      <c r="B85" s="16">
        <v>1484</v>
      </c>
      <c r="C85" s="16">
        <v>-2642</v>
      </c>
      <c r="D85" s="16">
        <v>-127</v>
      </c>
    </row>
    <row r="86" spans="1:5" x14ac:dyDescent="0.3">
      <c r="A86" s="1" t="s">
        <v>47</v>
      </c>
      <c r="B86" s="16">
        <v>-7520</v>
      </c>
      <c r="C86" s="16">
        <v>-3903</v>
      </c>
      <c r="D86" s="16">
        <v>1553</v>
      </c>
    </row>
    <row r="87" spans="1:5" x14ac:dyDescent="0.3">
      <c r="A87" s="1" t="s">
        <v>84</v>
      </c>
      <c r="B87" s="16">
        <v>-6499</v>
      </c>
      <c r="C87" s="16">
        <v>-8042</v>
      </c>
      <c r="D87" s="16">
        <v>-9588</v>
      </c>
    </row>
    <row r="88" spans="1:5" x14ac:dyDescent="0.3">
      <c r="A88" s="1" t="s">
        <v>35</v>
      </c>
      <c r="B88" s="16">
        <v>9448</v>
      </c>
      <c r="C88" s="16">
        <v>12326</v>
      </c>
      <c r="D88" s="16">
        <v>-4062</v>
      </c>
    </row>
    <row r="89" spans="1:5" x14ac:dyDescent="0.3">
      <c r="A89" s="1" t="s">
        <v>37</v>
      </c>
      <c r="B89" s="16">
        <v>478</v>
      </c>
      <c r="C89" s="16">
        <v>1676</v>
      </c>
      <c r="D89" s="16">
        <v>2081</v>
      </c>
    </row>
    <row r="90" spans="1:5" x14ac:dyDescent="0.3">
      <c r="A90" s="1" t="s">
        <v>85</v>
      </c>
      <c r="B90" s="16">
        <v>5632</v>
      </c>
      <c r="C90" s="16">
        <v>5799</v>
      </c>
      <c r="D90" s="16">
        <v>8916</v>
      </c>
    </row>
    <row r="91" spans="1:5" x14ac:dyDescent="0.3">
      <c r="A91" s="21" t="s">
        <v>63</v>
      </c>
      <c r="B91" s="22">
        <f>+SUM(B76:B90)</f>
        <v>221954</v>
      </c>
      <c r="C91" s="22">
        <f t="shared" ref="C91:D91" si="20">+SUM(C76:C90)</f>
        <v>198718</v>
      </c>
      <c r="D91" s="22">
        <f t="shared" si="20"/>
        <v>138085</v>
      </c>
    </row>
    <row r="92" spans="1:5" x14ac:dyDescent="0.3">
      <c r="A92" s="6" t="s">
        <v>64</v>
      </c>
      <c r="B92" s="16"/>
      <c r="C92" s="16"/>
      <c r="D92" s="16"/>
    </row>
    <row r="93" spans="1:5" x14ac:dyDescent="0.3">
      <c r="A93" s="1" t="s">
        <v>65</v>
      </c>
      <c r="B93" s="16">
        <v>-76923</v>
      </c>
      <c r="C93" s="16">
        <v>-109558</v>
      </c>
      <c r="D93" s="16">
        <v>-114938</v>
      </c>
    </row>
    <row r="94" spans="1:5" x14ac:dyDescent="0.3">
      <c r="A94" s="1" t="s">
        <v>66</v>
      </c>
      <c r="B94" s="16">
        <v>29917</v>
      </c>
      <c r="C94" s="16">
        <v>59023</v>
      </c>
      <c r="D94" s="16">
        <v>69918</v>
      </c>
    </row>
    <row r="95" spans="1:5" x14ac:dyDescent="0.3">
      <c r="A95" s="1" t="s">
        <v>67</v>
      </c>
      <c r="B95" s="16">
        <v>37446</v>
      </c>
      <c r="C95" s="16">
        <v>47460</v>
      </c>
      <c r="D95" s="16">
        <v>50473</v>
      </c>
    </row>
    <row r="96" spans="1:5" x14ac:dyDescent="0.3">
      <c r="A96" s="1" t="s">
        <v>68</v>
      </c>
      <c r="B96" s="16">
        <v>-10708</v>
      </c>
      <c r="C96" s="16">
        <v>-11085</v>
      </c>
      <c r="D96" s="16">
        <v>-7309</v>
      </c>
      <c r="E96" s="8">
        <v>10708</v>
      </c>
    </row>
    <row r="97" spans="1:4" x14ac:dyDescent="0.3">
      <c r="A97" s="1" t="s">
        <v>69</v>
      </c>
      <c r="B97" s="16">
        <v>-306</v>
      </c>
      <c r="C97" s="16">
        <v>-33</v>
      </c>
      <c r="D97" s="16">
        <v>-1524</v>
      </c>
    </row>
    <row r="98" spans="1:4" x14ac:dyDescent="0.3">
      <c r="A98" s="1" t="s">
        <v>61</v>
      </c>
      <c r="B98" s="16">
        <v>-1780</v>
      </c>
      <c r="C98" s="16">
        <v>-352</v>
      </c>
      <c r="D98" s="16">
        <v>-909</v>
      </c>
    </row>
    <row r="99" spans="1:4" x14ac:dyDescent="0.3">
      <c r="A99" s="21" t="s">
        <v>70</v>
      </c>
      <c r="B99" s="22">
        <f>+SUM(B93:B98)</f>
        <v>-22354</v>
      </c>
      <c r="C99" s="22">
        <f t="shared" ref="C99:D99" si="21">+SUM(C93:C98)</f>
        <v>-14545</v>
      </c>
      <c r="D99" s="22">
        <f t="shared" si="21"/>
        <v>-4289</v>
      </c>
    </row>
    <row r="100" spans="1:4" x14ac:dyDescent="0.3">
      <c r="A100" s="6" t="s">
        <v>71</v>
      </c>
      <c r="B100" s="16"/>
      <c r="C100" s="16"/>
      <c r="D100" s="16"/>
    </row>
    <row r="101" spans="1:4" x14ac:dyDescent="0.3">
      <c r="A101" s="1" t="s">
        <v>86</v>
      </c>
      <c r="B101" s="16">
        <v>-6223</v>
      </c>
      <c r="C101" s="16">
        <v>-6556</v>
      </c>
      <c r="D101" s="16">
        <v>-3634</v>
      </c>
    </row>
    <row r="102" spans="1:4" x14ac:dyDescent="0.3">
      <c r="A102" s="1" t="s">
        <v>72</v>
      </c>
      <c r="B102" s="30">
        <v>-14841</v>
      </c>
      <c r="C102" s="30">
        <v>-14467</v>
      </c>
      <c r="D102" s="30">
        <v>-14081</v>
      </c>
    </row>
    <row r="103" spans="1:4" x14ac:dyDescent="0.3">
      <c r="A103" s="1" t="s">
        <v>73</v>
      </c>
      <c r="B103" s="16">
        <v>-89402</v>
      </c>
      <c r="C103" s="16">
        <v>-85971</v>
      </c>
      <c r="D103" s="16">
        <v>-72358</v>
      </c>
    </row>
    <row r="104" spans="1:4" x14ac:dyDescent="0.3">
      <c r="A104" s="1" t="s">
        <v>74</v>
      </c>
      <c r="B104" s="16">
        <v>5465</v>
      </c>
      <c r="C104" s="16">
        <v>20393</v>
      </c>
      <c r="D104" s="16">
        <v>16091</v>
      </c>
    </row>
    <row r="105" spans="1:4" x14ac:dyDescent="0.3">
      <c r="A105" s="1" t="s">
        <v>75</v>
      </c>
      <c r="B105" s="16">
        <v>-9543</v>
      </c>
      <c r="C105" s="16">
        <v>-8750</v>
      </c>
      <c r="D105" s="16">
        <v>-12629</v>
      </c>
    </row>
    <row r="106" spans="1:4" x14ac:dyDescent="0.3">
      <c r="A106" s="1" t="s">
        <v>76</v>
      </c>
      <c r="B106" s="16">
        <v>3955</v>
      </c>
      <c r="C106" s="16">
        <v>1022</v>
      </c>
      <c r="D106" s="16">
        <v>-963</v>
      </c>
    </row>
    <row r="107" spans="1:4" x14ac:dyDescent="0.3">
      <c r="A107" s="1" t="s">
        <v>61</v>
      </c>
      <c r="B107" s="16">
        <v>-160</v>
      </c>
      <c r="C107" s="16">
        <v>976</v>
      </c>
      <c r="D107" s="16">
        <v>754</v>
      </c>
    </row>
    <row r="108" spans="1:4" x14ac:dyDescent="0.3">
      <c r="A108" s="21" t="s">
        <v>77</v>
      </c>
      <c r="B108" s="22">
        <f>+SUM(B101:B107)</f>
        <v>-110749</v>
      </c>
      <c r="C108" s="22">
        <f t="shared" ref="C108:D108" si="22">+SUM(C101:C107)</f>
        <v>-93353</v>
      </c>
      <c r="D108" s="22">
        <f t="shared" si="22"/>
        <v>-86820</v>
      </c>
    </row>
    <row r="109" spans="1:4" x14ac:dyDescent="0.3">
      <c r="A109" s="21" t="s">
        <v>78</v>
      </c>
      <c r="B109" s="22">
        <f>+B91+B99+B108</f>
        <v>88851</v>
      </c>
      <c r="C109" s="22">
        <f t="shared" ref="C109:D109" si="23">+C91+C99+C108</f>
        <v>90820</v>
      </c>
      <c r="D109" s="22">
        <f t="shared" si="23"/>
        <v>46976</v>
      </c>
    </row>
    <row r="110" spans="1:4" ht="15" thickBot="1" x14ac:dyDescent="0.35">
      <c r="A110" s="20" t="s">
        <v>79</v>
      </c>
      <c r="B110" s="23">
        <v>24977</v>
      </c>
      <c r="C110" s="23">
        <v>35929</v>
      </c>
      <c r="D110" s="23">
        <v>39789</v>
      </c>
    </row>
    <row r="111" spans="1:4" ht="15" thickTop="1" x14ac:dyDescent="0.3">
      <c r="B111" s="16"/>
      <c r="C111" s="16"/>
      <c r="D111" s="16"/>
    </row>
    <row r="112" spans="1:4" x14ac:dyDescent="0.3">
      <c r="A112" t="s">
        <v>80</v>
      </c>
      <c r="B112" s="16"/>
      <c r="C112" s="16"/>
      <c r="D112" s="16"/>
    </row>
    <row r="113" spans="1:4" x14ac:dyDescent="0.3">
      <c r="A113" t="s">
        <v>81</v>
      </c>
      <c r="B113" s="16">
        <v>19573</v>
      </c>
      <c r="C113" s="16">
        <v>25385</v>
      </c>
      <c r="D113" s="16">
        <v>9501</v>
      </c>
    </row>
    <row r="114" spans="1:4" x14ac:dyDescent="0.3">
      <c r="A114" t="s">
        <v>82</v>
      </c>
      <c r="B114" s="8">
        <v>2865</v>
      </c>
      <c r="C114" s="8">
        <v>2687</v>
      </c>
      <c r="D114" s="8">
        <v>3002</v>
      </c>
    </row>
    <row r="115" spans="1:4" s="19" customFormat="1" x14ac:dyDescent="0.3"/>
    <row r="116" spans="1:4" x14ac:dyDescent="0.3">
      <c r="A116" t="s">
        <v>221</v>
      </c>
      <c r="B116" s="14">
        <f>(B48+C48)/2</f>
        <v>351878.5</v>
      </c>
      <c r="C116" s="14">
        <f t="shared" ref="C116:D116" si="24">(C48+D48)/2</f>
        <v>337445</v>
      </c>
      <c r="D116" s="14">
        <f t="shared" si="24"/>
        <v>161944</v>
      </c>
    </row>
    <row r="117" spans="1:4" x14ac:dyDescent="0.3">
      <c r="A117" t="s">
        <v>178</v>
      </c>
      <c r="B117" s="17">
        <f>(C45+B45)/2</f>
        <v>40778.5</v>
      </c>
      <c r="C117" s="17">
        <f t="shared" ref="C117:D117" si="25">(D45+C45)/2</f>
        <v>38103</v>
      </c>
      <c r="D117" s="17">
        <f t="shared" si="25"/>
        <v>18383</v>
      </c>
    </row>
    <row r="118" spans="1:4" x14ac:dyDescent="0.3">
      <c r="A118" t="s">
        <v>155</v>
      </c>
      <c r="B118" s="14">
        <f>(C39+B39)/2</f>
        <v>5763</v>
      </c>
      <c r="C118" s="14">
        <f t="shared" ref="C118:D118" si="26">(D39+C39)/2</f>
        <v>5320.5</v>
      </c>
      <c r="D118" s="14">
        <f t="shared" si="26"/>
        <v>2030.5</v>
      </c>
    </row>
    <row r="119" spans="1:4" x14ac:dyDescent="0.3">
      <c r="A119" t="s">
        <v>180</v>
      </c>
      <c r="B119">
        <v>180.57</v>
      </c>
      <c r="C119">
        <v>180.57</v>
      </c>
      <c r="D119">
        <v>180.57</v>
      </c>
    </row>
    <row r="120" spans="1:4" x14ac:dyDescent="0.3">
      <c r="A120" t="s">
        <v>240</v>
      </c>
      <c r="B120" s="8">
        <v>14841</v>
      </c>
      <c r="C120" s="8">
        <v>14467</v>
      </c>
      <c r="D120" s="8">
        <v>14081</v>
      </c>
    </row>
    <row r="121" spans="1:4" x14ac:dyDescent="0.3">
      <c r="A121" s="1" t="s">
        <v>181</v>
      </c>
      <c r="B121">
        <f>B22/B8</f>
        <v>0.25309640705199732</v>
      </c>
      <c r="C121">
        <f t="shared" ref="C121:D121" si="27">C22/C8</f>
        <v>0.25881793355694238</v>
      </c>
      <c r="D121">
        <f t="shared" si="27"/>
        <v>0.20913611278072236</v>
      </c>
    </row>
    <row r="122" spans="1:4" x14ac:dyDescent="0.3">
      <c r="A122" s="18" t="s">
        <v>182</v>
      </c>
      <c r="B122">
        <f>B8/B48</f>
        <v>1.1178523337727317</v>
      </c>
      <c r="C122">
        <f t="shared" ref="C122:D122" si="28">C8/C48</f>
        <v>1.0422077367080529</v>
      </c>
      <c r="D122">
        <f t="shared" si="28"/>
        <v>0.84756150274168851</v>
      </c>
    </row>
    <row r="123" spans="1:4" x14ac:dyDescent="0.3">
      <c r="A123" s="18" t="s">
        <v>183</v>
      </c>
      <c r="B123">
        <f>B48/B68</f>
        <v>6.9615369434796337</v>
      </c>
      <c r="C123">
        <f t="shared" ref="C123:D123" si="29">C48/C68</f>
        <v>5.5635124425423994</v>
      </c>
      <c r="D123">
        <f t="shared" si="29"/>
        <v>4.9570394404566951</v>
      </c>
    </row>
    <row r="124" spans="1:4" x14ac:dyDescent="0.3">
      <c r="A124" t="s">
        <v>184</v>
      </c>
      <c r="B124" s="14">
        <f>B48-B56</f>
        <v>198773</v>
      </c>
      <c r="C124" s="14">
        <f t="shared" ref="C124:D124" si="30">C48-C56</f>
        <v>225521</v>
      </c>
      <c r="D124" s="14">
        <f t="shared" si="30"/>
        <v>218496</v>
      </c>
    </row>
    <row r="125" spans="1:4" x14ac:dyDescent="0.3">
      <c r="A125" t="s">
        <v>185</v>
      </c>
      <c r="B125" s="14">
        <f>B68+B61</f>
        <v>198773</v>
      </c>
      <c r="C125" s="14">
        <f t="shared" ref="C125:D125" si="31">C68+C61</f>
        <v>225521</v>
      </c>
      <c r="D125" s="14">
        <f t="shared" si="31"/>
        <v>218496</v>
      </c>
    </row>
    <row r="126" spans="1:4" x14ac:dyDescent="0.3">
      <c r="A126" t="s">
        <v>186</v>
      </c>
      <c r="B126" s="14">
        <f>B62-B36</f>
        <v>278437</v>
      </c>
      <c r="C126" s="14">
        <f t="shared" ref="C126:D126" si="32">C62-C36</f>
        <v>252972</v>
      </c>
      <c r="D126" s="14">
        <f t="shared" si="32"/>
        <v>220533</v>
      </c>
    </row>
    <row r="127" spans="1:4" x14ac:dyDescent="0.3">
      <c r="A127" t="s">
        <v>244</v>
      </c>
      <c r="B127">
        <f>B119*B139</f>
        <v>2947953.1368299997</v>
      </c>
      <c r="C127">
        <f>C119*C139</f>
        <v>3045298.4238300002</v>
      </c>
      <c r="D127">
        <f t="shared" ref="D127" si="33">D119*D139</f>
        <v>3165069.6019799998</v>
      </c>
    </row>
    <row r="128" spans="1:4" x14ac:dyDescent="0.3">
      <c r="A128" s="1" t="s">
        <v>196</v>
      </c>
      <c r="B128" s="14">
        <f>B15-C15</f>
        <v>4337</v>
      </c>
      <c r="C128" s="14">
        <f>C15-D15</f>
        <v>3162</v>
      </c>
    </row>
    <row r="129" spans="1:4" x14ac:dyDescent="0.3">
      <c r="A129" s="1" t="s">
        <v>197</v>
      </c>
      <c r="B129" s="14">
        <f>B16-C16</f>
        <v>3121</v>
      </c>
      <c r="C129" s="14">
        <f>C16-D16</f>
        <v>2057</v>
      </c>
    </row>
    <row r="130" spans="1:4" ht="15" thickBot="1" x14ac:dyDescent="0.35">
      <c r="A130" s="20" t="s">
        <v>198</v>
      </c>
      <c r="B130" s="14">
        <f>B48-C48</f>
        <v>1753</v>
      </c>
      <c r="C130" s="14">
        <f>C48-D48</f>
        <v>27114</v>
      </c>
    </row>
    <row r="131" spans="1:4" ht="15" thickTop="1" x14ac:dyDescent="0.3">
      <c r="A131" s="21" t="s">
        <v>199</v>
      </c>
      <c r="B131" s="14">
        <f>B62-C62</f>
        <v>14171</v>
      </c>
      <c r="C131" s="14">
        <f>C62-D62</f>
        <v>29363</v>
      </c>
    </row>
    <row r="132" spans="1:4" x14ac:dyDescent="0.3">
      <c r="A132" s="21" t="s">
        <v>200</v>
      </c>
      <c r="B132" s="14">
        <f>B68-C68</f>
        <v>-12418</v>
      </c>
      <c r="C132" s="14">
        <f>C68-D68</f>
        <v>-2249</v>
      </c>
    </row>
    <row r="133" spans="1:4" x14ac:dyDescent="0.3">
      <c r="A133" s="6" t="s">
        <v>213</v>
      </c>
      <c r="B133" s="17">
        <f>B17/365</f>
        <v>140.67123287671234</v>
      </c>
      <c r="C133" s="17">
        <f t="shared" ref="C133:D133" si="34">C17/365</f>
        <v>120.23835616438356</v>
      </c>
      <c r="D133" s="17">
        <f t="shared" si="34"/>
        <v>105.93972602739726</v>
      </c>
    </row>
    <row r="134" spans="1:4" x14ac:dyDescent="0.3">
      <c r="A134" s="29" t="s">
        <v>212</v>
      </c>
      <c r="B134" s="14">
        <f>B36+B37+B38</f>
        <v>76488</v>
      </c>
      <c r="C134" s="14">
        <f t="shared" ref="C134:D134" si="35">C36+C37+C38</f>
        <v>88917</v>
      </c>
      <c r="D134" s="14">
        <f t="shared" si="35"/>
        <v>107063</v>
      </c>
    </row>
    <row r="135" spans="1:4" x14ac:dyDescent="0.3">
      <c r="A135" s="6" t="s">
        <v>215</v>
      </c>
      <c r="B135" s="17">
        <f>(B51+C51)/2</f>
        <v>59439</v>
      </c>
      <c r="C135" s="17">
        <f t="shared" ref="C135:D135" si="36">(C51+D51)/2</f>
        <v>48529.5</v>
      </c>
      <c r="D135" s="17">
        <f t="shared" si="36"/>
        <v>21148</v>
      </c>
    </row>
    <row r="136" spans="1:4" x14ac:dyDescent="0.3">
      <c r="A136" s="6" t="s">
        <v>216</v>
      </c>
      <c r="B136" s="14">
        <f>(B38+C38)/2</f>
        <v>27231</v>
      </c>
      <c r="C136" s="14">
        <f t="shared" ref="C136:D136" si="37">(C38+D38)/2</f>
        <v>21199</v>
      </c>
      <c r="D136" s="14">
        <f t="shared" si="37"/>
        <v>8060</v>
      </c>
    </row>
    <row r="137" spans="1:4" x14ac:dyDescent="0.3">
      <c r="A137" s="29" t="s">
        <v>225</v>
      </c>
      <c r="B137" s="17">
        <f>(B17-B138)/365</f>
        <v>85.487671232876707</v>
      </c>
      <c r="C137" s="17">
        <f t="shared" ref="C137:D137" si="38">(C17-C138)/365</f>
        <v>67.663013698630138</v>
      </c>
      <c r="D137" s="17">
        <f t="shared" si="38"/>
        <v>56.939726027397263</v>
      </c>
    </row>
    <row r="138" spans="1:4" x14ac:dyDescent="0.3">
      <c r="A138" s="6" t="s">
        <v>238</v>
      </c>
      <c r="B138" s="14">
        <f>(B79+B80)</f>
        <v>20142</v>
      </c>
      <c r="C138" s="14">
        <f t="shared" ref="C138:D138" si="39">(C79+C80)</f>
        <v>19190</v>
      </c>
      <c r="D138" s="14">
        <f t="shared" si="39"/>
        <v>17885</v>
      </c>
    </row>
    <row r="139" spans="1:4" x14ac:dyDescent="0.3">
      <c r="A139" s="6" t="s">
        <v>239</v>
      </c>
      <c r="B139">
        <f>B28/1000</f>
        <v>16325.819</v>
      </c>
      <c r="C139">
        <f t="shared" ref="C139:D139" si="40">C28/1000</f>
        <v>16864.919000000002</v>
      </c>
      <c r="D139">
        <f t="shared" si="40"/>
        <v>17528.214</v>
      </c>
    </row>
    <row r="140" spans="1:4" x14ac:dyDescent="0.3">
      <c r="A140" t="s">
        <v>242</v>
      </c>
      <c r="B140" s="14">
        <f>B68+B59</f>
        <v>149631</v>
      </c>
      <c r="C140" s="14">
        <f t="shared" ref="C140:D140" si="41">C68+C59</f>
        <v>172196</v>
      </c>
      <c r="D140" s="14">
        <f t="shared" si="41"/>
        <v>164006</v>
      </c>
    </row>
    <row r="141" spans="1:4" x14ac:dyDescent="0.3">
      <c r="A141" s="6" t="s">
        <v>245</v>
      </c>
      <c r="B141" s="14">
        <f>B127+B62</f>
        <v>3250036.1368299997</v>
      </c>
      <c r="C141" s="14">
        <f t="shared" ref="C141:D141" si="42">C127+C62</f>
        <v>3333210.4238300002</v>
      </c>
      <c r="D141" s="14">
        <f t="shared" si="42"/>
        <v>3423618.6019799998</v>
      </c>
    </row>
    <row r="142" spans="1:4" x14ac:dyDescent="0.3">
      <c r="A142" s="6" t="s">
        <v>247</v>
      </c>
      <c r="B142" s="14">
        <f>B106+B104</f>
        <v>9420</v>
      </c>
      <c r="C142" s="14">
        <f t="shared" ref="C142:D142" si="43">C106+C104</f>
        <v>21415</v>
      </c>
      <c r="D142" s="14">
        <f t="shared" si="43"/>
        <v>15128</v>
      </c>
    </row>
  </sheetData>
  <mergeCells count="6">
    <mergeCell ref="B3:D3"/>
    <mergeCell ref="B32:D32"/>
    <mergeCell ref="B72:D72"/>
    <mergeCell ref="A2:D2"/>
    <mergeCell ref="A31:D31"/>
    <mergeCell ref="A71:D7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
  <sheetViews>
    <sheetView tabSelected="1" topLeftCell="C1" workbookViewId="0">
      <selection activeCell="H1" sqref="H1"/>
    </sheetView>
  </sheetViews>
  <sheetFormatPr defaultColWidth="8.77734375" defaultRowHeight="14.4" x14ac:dyDescent="0.3"/>
  <cols>
    <col min="1" max="1" width="4.6640625" customWidth="1"/>
    <col min="2" max="2" width="44.77734375" customWidth="1"/>
    <col min="3" max="3" width="54.44140625" customWidth="1"/>
    <col min="4" max="6" width="19.77734375" bestFit="1" customWidth="1"/>
    <col min="8" max="8" width="36.33203125" customWidth="1"/>
    <col min="9" max="9" width="34.44140625" customWidth="1"/>
  </cols>
  <sheetData>
    <row r="1" spans="1:12" ht="60" customHeight="1" x14ac:dyDescent="0.5">
      <c r="A1" s="5"/>
      <c r="B1" s="13" t="s">
        <v>0</v>
      </c>
      <c r="C1" s="13" t="s">
        <v>149</v>
      </c>
      <c r="D1" s="12"/>
      <c r="E1" s="12"/>
      <c r="F1" s="12"/>
      <c r="G1" s="12"/>
      <c r="H1" s="13" t="s">
        <v>237</v>
      </c>
      <c r="I1" s="13" t="s">
        <v>237</v>
      </c>
      <c r="J1" s="12"/>
      <c r="K1" s="12"/>
      <c r="L1" s="12"/>
    </row>
    <row r="2" spans="1:12" x14ac:dyDescent="0.3">
      <c r="D2" s="39" t="s">
        <v>23</v>
      </c>
      <c r="E2" s="39"/>
      <c r="F2" s="39"/>
    </row>
    <row r="3" spans="1:12" x14ac:dyDescent="0.3">
      <c r="D3" s="6">
        <f>+'Financial Statements'!B4</f>
        <v>2022</v>
      </c>
      <c r="E3" s="6">
        <f>+'Financial Statements'!C4</f>
        <v>2021</v>
      </c>
      <c r="F3" s="6">
        <f>+'Financial Statements'!D4</f>
        <v>2020</v>
      </c>
    </row>
    <row r="4" spans="1:12" x14ac:dyDescent="0.3">
      <c r="A4" s="11">
        <v>1</v>
      </c>
      <c r="B4" s="6" t="s">
        <v>99</v>
      </c>
      <c r="C4" s="6"/>
    </row>
    <row r="5" spans="1:12" x14ac:dyDescent="0.3">
      <c r="A5" s="11">
        <f>+A4+0.1</f>
        <v>1.1000000000000001</v>
      </c>
      <c r="B5" s="1" t="s">
        <v>100</v>
      </c>
      <c r="C5" t="s">
        <v>150</v>
      </c>
      <c r="D5" s="28">
        <f>'Financial Statements'!B42/'Financial Statements'!B56</f>
        <v>0.87935602862672257</v>
      </c>
      <c r="E5" s="28">
        <f>'Financial Statements'!C42/'Financial Statements'!C56</f>
        <v>1.0745531195957954</v>
      </c>
      <c r="F5" s="28">
        <f>'Financial Statements'!D42/'Financial Statements'!D56</f>
        <v>1.3636044481554577</v>
      </c>
    </row>
    <row r="6" spans="1:12" x14ac:dyDescent="0.3">
      <c r="A6" s="11">
        <f t="shared" ref="A6:A13" si="0">+A5+0.1</f>
        <v>1.2000000000000002</v>
      </c>
      <c r="B6" s="1" t="s">
        <v>101</v>
      </c>
      <c r="C6" s="1" t="s">
        <v>151</v>
      </c>
      <c r="D6" s="28">
        <f>('Financial Statements'!B36+'Financial Statements'!B37+'Financial Statements'!B38)/'Financial Statements'!B56</f>
        <v>0.49673338442155579</v>
      </c>
      <c r="E6" s="28">
        <f>('Financial Statements'!C36+'Financial Statements'!C37+'Financial Statements'!C38)/'Financial Statements'!C56</f>
        <v>0.70860927152317876</v>
      </c>
      <c r="F6" s="28">
        <f>('Financial Statements'!D36+'Financial Statements'!D37+'Financial Statements'!D38)/'Financial Statements'!D56</f>
        <v>1.0158550933657204</v>
      </c>
    </row>
    <row r="7" spans="1:12" x14ac:dyDescent="0.3">
      <c r="A7" s="11">
        <f t="shared" si="0"/>
        <v>1.3000000000000003</v>
      </c>
      <c r="B7" s="1" t="s">
        <v>102</v>
      </c>
      <c r="C7" s="1" t="s">
        <v>152</v>
      </c>
      <c r="D7" s="28">
        <f>('Financial Statements'!B36+'Financial Statements'!B37)/'Financial Statements'!B56</f>
        <v>0.31369900377966253</v>
      </c>
      <c r="E7" s="28">
        <f>('Financial Statements'!C36+'Financial Statements'!C37)/'Financial Statements'!C56</f>
        <v>0.49919111259872012</v>
      </c>
      <c r="F7" s="28">
        <f>('Financial Statements'!D36+'Financial Statements'!D37)/'Financial Statements'!D56</f>
        <v>0.86290230757552755</v>
      </c>
    </row>
    <row r="8" spans="1:12" x14ac:dyDescent="0.3">
      <c r="A8" s="11">
        <f t="shared" si="0"/>
        <v>1.4000000000000004</v>
      </c>
      <c r="B8" s="31" t="s">
        <v>103</v>
      </c>
      <c r="C8" s="32" t="s">
        <v>153</v>
      </c>
      <c r="D8" s="33">
        <f>'Financial Statements'!B134/'Financial Statements'!B137</f>
        <v>894.72550716277283</v>
      </c>
      <c r="E8" s="33">
        <f>'Financial Statements'!C134/'Financial Statements'!C137</f>
        <v>1314.1152771591692</v>
      </c>
      <c r="F8" s="33">
        <f>'Financial Statements'!D134/'Financial Statements'!D137</f>
        <v>1880.2865322619448</v>
      </c>
      <c r="G8" s="34"/>
      <c r="H8" s="34"/>
      <c r="I8" s="34" t="s">
        <v>225</v>
      </c>
    </row>
    <row r="9" spans="1:12" x14ac:dyDescent="0.3">
      <c r="A9" s="11">
        <f t="shared" si="0"/>
        <v>1.5000000000000004</v>
      </c>
      <c r="B9" s="31" t="s">
        <v>104</v>
      </c>
      <c r="C9" s="32" t="s">
        <v>154</v>
      </c>
      <c r="D9" s="33">
        <f>('Financial Statements'!B118/'Financial Statements'!B12)*365</f>
        <v>9.4096740715557434</v>
      </c>
      <c r="E9" s="33">
        <f>('Financial Statements'!C118/'Financial Statements'!C12)*365</f>
        <v>9.1181020842234748</v>
      </c>
      <c r="F9" s="33">
        <f>('Financial Statements'!D118/'Financial Statements'!D12)*365</f>
        <v>4.3709416781179415</v>
      </c>
      <c r="G9" s="34"/>
      <c r="H9" s="34" t="s">
        <v>251</v>
      </c>
      <c r="I9" s="34" t="s">
        <v>231</v>
      </c>
    </row>
    <row r="10" spans="1:12" x14ac:dyDescent="0.3">
      <c r="A10" s="11">
        <f t="shared" si="0"/>
        <v>1.6000000000000005</v>
      </c>
      <c r="B10" s="31" t="s">
        <v>105</v>
      </c>
      <c r="C10" s="32" t="s">
        <v>214</v>
      </c>
      <c r="D10" s="33">
        <f>('Financial Statements'!B135/'Financial Statements'!B12)*365</f>
        <v>97.050428099809452</v>
      </c>
      <c r="E10" s="33">
        <f>('Financial Statements'!C135/'Financial Statements'!C12)*365</f>
        <v>83.168299050150011</v>
      </c>
      <c r="F10" s="33">
        <f>('Financial Statements'!D135/'Financial Statements'!D12)*365</f>
        <v>45.524094857837099</v>
      </c>
      <c r="G10" s="34"/>
      <c r="H10" s="34"/>
      <c r="I10" s="34" t="s">
        <v>232</v>
      </c>
    </row>
    <row r="11" spans="1:12" x14ac:dyDescent="0.3">
      <c r="A11" s="11">
        <f t="shared" si="0"/>
        <v>1.7000000000000006</v>
      </c>
      <c r="B11" s="31" t="s">
        <v>106</v>
      </c>
      <c r="C11" s="32" t="s">
        <v>252</v>
      </c>
      <c r="D11" s="33">
        <f>('Financial Statements'!B136/'Financial Statements'!B8)*356</f>
        <v>24.58419386906332</v>
      </c>
      <c r="E11" s="33">
        <f>('Financial Statements'!C136/'Financial Statements'!C8)*356</f>
        <v>20.630107403428489</v>
      </c>
      <c r="F11" s="33">
        <f>('Financial Statements'!D136/'Financial Statements'!D8)*356</f>
        <v>10.452470721089922</v>
      </c>
      <c r="G11" s="34"/>
      <c r="H11" s="34"/>
      <c r="I11" s="34" t="s">
        <v>233</v>
      </c>
    </row>
    <row r="12" spans="1:12" x14ac:dyDescent="0.3">
      <c r="A12" s="11">
        <f t="shared" si="0"/>
        <v>1.8000000000000007</v>
      </c>
      <c r="B12" s="1" t="s">
        <v>217</v>
      </c>
      <c r="C12" s="1" t="s">
        <v>253</v>
      </c>
      <c r="D12" s="11">
        <f>D9+D11-D10</f>
        <v>-63.05656015919039</v>
      </c>
      <c r="E12" s="11">
        <f t="shared" ref="E12:F12" si="1">E9+E11-E10</f>
        <v>-53.420089562498049</v>
      </c>
      <c r="F12" s="11">
        <f t="shared" si="1"/>
        <v>-30.700682458629235</v>
      </c>
    </row>
    <row r="13" spans="1:12" x14ac:dyDescent="0.3">
      <c r="A13" s="11">
        <f t="shared" si="0"/>
        <v>1.9000000000000008</v>
      </c>
      <c r="B13" s="1" t="s">
        <v>107</v>
      </c>
      <c r="C13" s="1" t="s">
        <v>157</v>
      </c>
      <c r="D13" s="11">
        <f>(D14/'Financial Statements'!B8)*100</f>
        <v>-4.7110527276784806</v>
      </c>
      <c r="E13" s="11">
        <f>(E14/'Financial Statements'!C8)*100</f>
        <v>2.5572895737486232</v>
      </c>
      <c r="F13" s="11">
        <f>(F14/'Financial Statements'!D8)*100</f>
        <v>13.959528623208204</v>
      </c>
    </row>
    <row r="14" spans="1:12" x14ac:dyDescent="0.3">
      <c r="A14" s="11"/>
      <c r="B14" s="2" t="s">
        <v>108</v>
      </c>
      <c r="C14" s="2" t="s">
        <v>156</v>
      </c>
      <c r="D14" s="11">
        <f>'Financial Statements'!B42-'Financial Statements'!B56</f>
        <v>-18577</v>
      </c>
      <c r="E14" s="11">
        <f>'Financial Statements'!C42-'Financial Statements'!C56</f>
        <v>9355</v>
      </c>
      <c r="F14" s="11">
        <f>'Financial Statements'!D42-'Financial Statements'!D56</f>
        <v>38321</v>
      </c>
    </row>
    <row r="15" spans="1:12" x14ac:dyDescent="0.3">
      <c r="A15" s="11"/>
      <c r="D15" s="11"/>
      <c r="E15" s="11"/>
      <c r="F15" s="11"/>
    </row>
    <row r="16" spans="1:12" x14ac:dyDescent="0.3">
      <c r="A16" s="11">
        <f>+A4+1</f>
        <v>2</v>
      </c>
      <c r="B16" s="10" t="s">
        <v>109</v>
      </c>
      <c r="C16" s="10"/>
      <c r="D16" s="11"/>
      <c r="E16" s="11"/>
      <c r="F16" s="11"/>
    </row>
    <row r="17" spans="1:9" x14ac:dyDescent="0.3">
      <c r="A17" s="11">
        <f>+A16+0.1</f>
        <v>2.1</v>
      </c>
      <c r="B17" s="1" t="s">
        <v>9</v>
      </c>
      <c r="C17" s="1" t="s">
        <v>218</v>
      </c>
      <c r="D17" s="28">
        <f>'Financial Statements'!B13/'Financial Statements'!B8</f>
        <v>0.43309630561360085</v>
      </c>
      <c r="E17" s="28">
        <f>'Financial Statements'!C13/'Financial Statements'!C8</f>
        <v>0.41779359625167778</v>
      </c>
      <c r="F17" s="28">
        <f>'Financial Statements'!D13/'Financial Statements'!D8</f>
        <v>0.38233247727810865</v>
      </c>
    </row>
    <row r="18" spans="1:9" x14ac:dyDescent="0.3">
      <c r="A18" s="11">
        <f>+A17+0.1</f>
        <v>2.2000000000000002</v>
      </c>
      <c r="B18" s="1" t="s">
        <v>110</v>
      </c>
      <c r="C18" s="1" t="s">
        <v>159</v>
      </c>
      <c r="D18" s="28">
        <f>D19/'Financial Statements'!B8</f>
        <v>0.3310467428130896</v>
      </c>
      <c r="E18" s="28">
        <f>E19/'Financial Statements'!C8</f>
        <v>0.32866979938056462</v>
      </c>
      <c r="F18" s="28">
        <f>F19/'Financial Statements'!D8</f>
        <v>0.2817478097736007</v>
      </c>
    </row>
    <row r="19" spans="1:9" x14ac:dyDescent="0.3">
      <c r="A19" s="11"/>
      <c r="B19" s="2" t="s">
        <v>111</v>
      </c>
      <c r="C19" s="2" t="s">
        <v>158</v>
      </c>
      <c r="D19" s="8">
        <f>D21+'Financial Statements'!B79</f>
        <v>130541</v>
      </c>
      <c r="E19" s="8">
        <f>E21+'Financial Statements'!C79</f>
        <v>120233</v>
      </c>
      <c r="F19" s="8">
        <f>F21+'Financial Statements'!D79</f>
        <v>77344</v>
      </c>
    </row>
    <row r="20" spans="1:9" x14ac:dyDescent="0.3">
      <c r="A20" s="11">
        <f>+A18+0.1</f>
        <v>2.3000000000000003</v>
      </c>
      <c r="B20" s="1" t="s">
        <v>112</v>
      </c>
      <c r="C20" s="2" t="s">
        <v>162</v>
      </c>
      <c r="D20" s="28">
        <f>D21/'Financial Statements'!B8</f>
        <v>0.30288744395528594</v>
      </c>
      <c r="E20" s="28">
        <f>E21/'Financial Statements'!C8</f>
        <v>0.29782377527561593</v>
      </c>
      <c r="F20" s="28">
        <f>F21/'Financial Statements'!D8</f>
        <v>0.24147314354406862</v>
      </c>
    </row>
    <row r="21" spans="1:9" x14ac:dyDescent="0.3">
      <c r="A21" s="11"/>
      <c r="B21" s="2" t="s">
        <v>113</v>
      </c>
      <c r="C21" s="2" t="s">
        <v>161</v>
      </c>
      <c r="D21" s="8">
        <f>'Financial Statements'!B18</f>
        <v>119437</v>
      </c>
      <c r="E21" s="8">
        <f>'Financial Statements'!C18</f>
        <v>108949</v>
      </c>
      <c r="F21" s="8">
        <f>'Financial Statements'!D18</f>
        <v>66288</v>
      </c>
    </row>
    <row r="22" spans="1:9" x14ac:dyDescent="0.3">
      <c r="A22" s="11">
        <f>+A20+0.1</f>
        <v>2.4000000000000004</v>
      </c>
      <c r="B22" s="1" t="s">
        <v>114</v>
      </c>
      <c r="C22" s="1" t="s">
        <v>160</v>
      </c>
      <c r="D22" s="28">
        <f>'Financial Statements'!B22/'Financial Statements'!B8</f>
        <v>0.25309640705199732</v>
      </c>
      <c r="E22" s="28">
        <f>'Financial Statements'!C22/'Financial Statements'!C8</f>
        <v>0.25881793355694238</v>
      </c>
      <c r="F22" s="28">
        <f>'Financial Statements'!D22/'Financial Statements'!D8</f>
        <v>0.20913611278072236</v>
      </c>
    </row>
    <row r="23" spans="1:9" x14ac:dyDescent="0.3">
      <c r="A23" s="11"/>
      <c r="D23" s="11"/>
      <c r="E23" s="11"/>
      <c r="F23" s="11"/>
    </row>
    <row r="24" spans="1:9" x14ac:dyDescent="0.3">
      <c r="A24" s="11">
        <f>+A16+1</f>
        <v>3</v>
      </c>
      <c r="B24" s="6" t="s">
        <v>115</v>
      </c>
      <c r="C24" s="6"/>
      <c r="D24" s="11"/>
      <c r="E24" s="11"/>
      <c r="F24" s="11"/>
    </row>
    <row r="25" spans="1:9" x14ac:dyDescent="0.3">
      <c r="A25" s="11">
        <f>+A24+0.1</f>
        <v>3.1</v>
      </c>
      <c r="B25" s="1" t="s">
        <v>116</v>
      </c>
      <c r="C25" s="1" t="s">
        <v>163</v>
      </c>
      <c r="D25" s="11">
        <f>'Financial Statements'!B59/'Financial Statements'!B68</f>
        <v>1.9529325860435744</v>
      </c>
      <c r="E25" s="11">
        <f>'Financial Statements'!C59/'Financial Statements'!C68</f>
        <v>1.729370740212395</v>
      </c>
      <c r="F25" s="11">
        <f>'Financial Statements'!D59/'Financial Statements'!D68</f>
        <v>1.5100782075024104</v>
      </c>
    </row>
    <row r="26" spans="1:9" x14ac:dyDescent="0.3">
      <c r="A26" s="11">
        <f t="shared" ref="A26:A30" si="2">+A25+0.1</f>
        <v>3.2</v>
      </c>
      <c r="B26" s="1" t="s">
        <v>117</v>
      </c>
      <c r="C26" s="1" t="s">
        <v>164</v>
      </c>
      <c r="D26" s="11">
        <f>'Financial Statements'!B59/'Financial Statements'!B48</f>
        <v>0.28053181386514719</v>
      </c>
      <c r="E26" s="11">
        <f>'Financial Statements'!C59/'Financial Statements'!C48</f>
        <v>0.31084153366647482</v>
      </c>
      <c r="F26" s="11">
        <f>'Financial Statements'!D59/'Financial Statements'!D48</f>
        <v>0.30463308304105124</v>
      </c>
    </row>
    <row r="27" spans="1:9" x14ac:dyDescent="0.3">
      <c r="A27" s="11">
        <f t="shared" si="2"/>
        <v>3.3000000000000003</v>
      </c>
      <c r="B27" s="1" t="s">
        <v>118</v>
      </c>
      <c r="C27" s="1" t="s">
        <v>165</v>
      </c>
      <c r="D27" s="11">
        <f>'Financial Statements'!B59/('Financial Statements'!B59+'Financial Statements'!B68)</f>
        <v>0.66135359651409131</v>
      </c>
      <c r="E27" s="11">
        <f>'Financial Statements'!C59/('Financial Statements'!C59+'Financial Statements'!C68)</f>
        <v>0.63361518269878514</v>
      </c>
      <c r="F27" s="11">
        <f>'Financial Statements'!D59/('Financial Statements'!D59+'Financial Statements'!D68)</f>
        <v>0.60160603880345842</v>
      </c>
    </row>
    <row r="28" spans="1:9" x14ac:dyDescent="0.3">
      <c r="A28" s="11">
        <f t="shared" si="2"/>
        <v>3.4000000000000004</v>
      </c>
      <c r="B28" s="1" t="s">
        <v>119</v>
      </c>
      <c r="C28" s="1" t="s">
        <v>166</v>
      </c>
      <c r="D28" s="11">
        <f>D21/'Financial Statements'!B114</f>
        <v>41.68830715532286</v>
      </c>
      <c r="E28" s="11">
        <f>E21/'Financial Statements'!C114</f>
        <v>40.546706363974693</v>
      </c>
      <c r="F28" s="11">
        <f>F21/'Financial Statements'!D114</f>
        <v>22.081279147235175</v>
      </c>
    </row>
    <row r="29" spans="1:9" x14ac:dyDescent="0.3">
      <c r="A29" s="11">
        <f t="shared" si="2"/>
        <v>3.5000000000000004</v>
      </c>
      <c r="B29" s="1" t="s">
        <v>120</v>
      </c>
      <c r="C29" s="1"/>
      <c r="D29" s="11"/>
      <c r="E29" s="11"/>
      <c r="F29" s="11"/>
    </row>
    <row r="30" spans="1:9" x14ac:dyDescent="0.3">
      <c r="A30" s="11">
        <f t="shared" si="2"/>
        <v>3.6000000000000005</v>
      </c>
      <c r="B30" s="31" t="s">
        <v>121</v>
      </c>
      <c r="C30" s="32" t="s">
        <v>220</v>
      </c>
      <c r="D30" s="33">
        <f>D31/'Financial Statements'!B139</f>
        <v>13.51638162838875</v>
      </c>
      <c r="E30" s="33">
        <f>E31/'Financial Statements'!C139</f>
        <v>12.395434570423966</v>
      </c>
      <c r="F30" s="33">
        <f>F31/'Financial Statements'!D139</f>
        <v>8.3239513164318968</v>
      </c>
      <c r="G30" s="34"/>
      <c r="H30" s="34"/>
      <c r="I30" s="34"/>
    </row>
    <row r="31" spans="1:9" x14ac:dyDescent="0.3">
      <c r="A31" s="11"/>
      <c r="B31" s="35" t="s">
        <v>122</v>
      </c>
      <c r="C31" s="36" t="s">
        <v>219</v>
      </c>
      <c r="D31" s="16">
        <f>'Financial Statements'!B91+'Financial Statements'!B96+'Financial Statements'!B142</f>
        <v>220666</v>
      </c>
      <c r="E31" s="16">
        <f>'Financial Statements'!C91+'Financial Statements'!C96+'Financial Statements'!C142</f>
        <v>209048</v>
      </c>
      <c r="F31" s="16">
        <f>'Financial Statements'!D91+'Financial Statements'!D96+'Financial Statements'!D142</f>
        <v>145904</v>
      </c>
      <c r="G31" s="34"/>
      <c r="H31" s="34"/>
      <c r="I31" s="34" t="s">
        <v>234</v>
      </c>
    </row>
    <row r="32" spans="1:9" x14ac:dyDescent="0.3">
      <c r="A32" s="11"/>
      <c r="B32" s="34"/>
      <c r="C32" s="32"/>
      <c r="D32" s="33"/>
      <c r="E32" s="33"/>
      <c r="F32" s="33"/>
      <c r="G32" s="34"/>
      <c r="H32" s="34"/>
      <c r="I32" s="34"/>
    </row>
    <row r="33" spans="1:9" x14ac:dyDescent="0.3">
      <c r="A33" s="11">
        <f>+A24+1</f>
        <v>4</v>
      </c>
      <c r="B33" s="37" t="s">
        <v>123</v>
      </c>
      <c r="C33" s="37"/>
      <c r="D33" s="33"/>
      <c r="E33" s="33"/>
      <c r="F33" s="33"/>
      <c r="G33" s="34"/>
      <c r="H33" s="34"/>
      <c r="I33" s="34"/>
    </row>
    <row r="34" spans="1:9" x14ac:dyDescent="0.3">
      <c r="A34" s="11">
        <f>+A33+0.1</f>
        <v>4.0999999999999996</v>
      </c>
      <c r="B34" s="31" t="s">
        <v>124</v>
      </c>
      <c r="C34" s="32" t="s">
        <v>174</v>
      </c>
      <c r="D34" s="33">
        <f>'Financial Statements'!B8/'Financial Statements'!B116</f>
        <v>1.1206368107173357</v>
      </c>
      <c r="E34" s="33">
        <f>'Financial Statements'!C8/'Financial Statements'!C116</f>
        <v>1.084078886929722</v>
      </c>
      <c r="F34" s="33">
        <f>'Financial Statements'!D8/'Financial Statements'!D48</f>
        <v>0.84756150274168851</v>
      </c>
      <c r="G34" s="34" t="s">
        <v>177</v>
      </c>
      <c r="H34" s="34"/>
      <c r="I34" s="34" t="s">
        <v>235</v>
      </c>
    </row>
    <row r="35" spans="1:9" x14ac:dyDescent="0.3">
      <c r="A35" s="11">
        <f t="shared" ref="A35:A37" si="3">+A34+0.1</f>
        <v>4.1999999999999993</v>
      </c>
      <c r="B35" s="31" t="s">
        <v>125</v>
      </c>
      <c r="C35" s="32" t="s">
        <v>175</v>
      </c>
      <c r="D35" s="33">
        <f>'Financial Statements'!B8/'Financial Statements'!B117</f>
        <v>9.6699976703409884</v>
      </c>
      <c r="E35" s="33">
        <f>'Financial Statements'!C8/'Financial Statements'!C117</f>
        <v>9.6007400992047867</v>
      </c>
      <c r="F35" s="33">
        <f>'Financial Statements'!D8/'Financial Statements'!D117</f>
        <v>14.933090355219496</v>
      </c>
      <c r="G35" s="34"/>
      <c r="H35" s="34"/>
      <c r="I35" s="34" t="s">
        <v>236</v>
      </c>
    </row>
    <row r="36" spans="1:9" x14ac:dyDescent="0.3">
      <c r="A36" s="11">
        <f t="shared" si="3"/>
        <v>4.2999999999999989</v>
      </c>
      <c r="B36" s="31" t="s">
        <v>126</v>
      </c>
      <c r="C36" s="32" t="s">
        <v>167</v>
      </c>
      <c r="D36" s="33">
        <f>'Financial Statements'!B12/'Financial Statements'!B118</f>
        <v>38.789866389033492</v>
      </c>
      <c r="E36" s="33">
        <f>'Financial Statements'!C12/'Financial Statements'!C118</f>
        <v>40.030260313880277</v>
      </c>
      <c r="F36" s="33">
        <f>'Financial Statements'!D12/'Financial Statements'!D118</f>
        <v>83.506032996798822</v>
      </c>
      <c r="G36" s="34"/>
      <c r="H36" s="34"/>
      <c r="I36" s="34" t="s">
        <v>236</v>
      </c>
    </row>
    <row r="37" spans="1:9" x14ac:dyDescent="0.3">
      <c r="A37" s="11">
        <f t="shared" si="3"/>
        <v>4.3999999999999986</v>
      </c>
      <c r="B37" s="31" t="s">
        <v>127</v>
      </c>
      <c r="C37" s="32" t="s">
        <v>179</v>
      </c>
      <c r="D37" s="33">
        <f>'Financial Statements'!B22/'Financial Statements'!B116</f>
        <v>0.28362915040276687</v>
      </c>
      <c r="E37" s="33">
        <f>'Financial Statements'!C22/'Financial Statements'!C116</f>
        <v>0.28057905732786081</v>
      </c>
      <c r="F37" s="33">
        <f>'Financial Statements'!D22/'Financial Statements'!D116</f>
        <v>0.35451143605196861</v>
      </c>
      <c r="G37" s="34"/>
      <c r="H37" s="34"/>
      <c r="I37" s="34" t="s">
        <v>235</v>
      </c>
    </row>
    <row r="38" spans="1:9" x14ac:dyDescent="0.3">
      <c r="A38" s="11"/>
      <c r="B38" s="34"/>
      <c r="C38" s="34"/>
      <c r="D38" s="33"/>
      <c r="E38" s="33"/>
      <c r="F38" s="33"/>
      <c r="G38" s="34"/>
      <c r="H38" s="34"/>
      <c r="I38" s="34"/>
    </row>
    <row r="39" spans="1:9" x14ac:dyDescent="0.3">
      <c r="A39" s="11">
        <f>+A33+1</f>
        <v>5</v>
      </c>
      <c r="B39" s="37" t="s">
        <v>128</v>
      </c>
      <c r="C39" s="37"/>
      <c r="D39" s="33"/>
      <c r="E39" s="33"/>
      <c r="F39" s="33"/>
      <c r="G39" s="34"/>
      <c r="H39" s="34"/>
      <c r="I39" s="34"/>
    </row>
    <row r="40" spans="1:9" x14ac:dyDescent="0.3">
      <c r="A40" s="11">
        <f>+A39+0.1</f>
        <v>5.0999999999999996</v>
      </c>
      <c r="B40" s="32" t="s">
        <v>129</v>
      </c>
      <c r="C40" s="32" t="s">
        <v>168</v>
      </c>
      <c r="D40" s="33">
        <f>'Financial Statements'!B119/'Financial Statements'!B25</f>
        <v>29.553191489361698</v>
      </c>
      <c r="E40" s="33">
        <f>'Financial Statements'!C119/'Financial Statements'!C25</f>
        <v>32.18716577540107</v>
      </c>
      <c r="F40" s="33">
        <f>'Financial Statements'!D119/'Financial Statements'!D25</f>
        <v>55.051829268292686</v>
      </c>
      <c r="G40" s="34"/>
      <c r="H40" s="34"/>
      <c r="I40" s="34"/>
    </row>
    <row r="41" spans="1:9" x14ac:dyDescent="0.3">
      <c r="A41" s="11">
        <f t="shared" ref="A41:A44" si="4">+A40+0.1</f>
        <v>5.1999999999999993</v>
      </c>
      <c r="B41" s="36" t="s">
        <v>130</v>
      </c>
      <c r="C41" s="36" t="s">
        <v>169</v>
      </c>
      <c r="D41" s="33">
        <f>'Financial Statements'!B25</f>
        <v>6.11</v>
      </c>
      <c r="E41" s="33">
        <f>'Financial Statements'!C25</f>
        <v>5.61</v>
      </c>
      <c r="F41" s="33">
        <f>'Financial Statements'!D25</f>
        <v>3.28</v>
      </c>
      <c r="G41" s="34"/>
      <c r="H41" s="34"/>
      <c r="I41" s="34"/>
    </row>
    <row r="42" spans="1:9" x14ac:dyDescent="0.3">
      <c r="A42" s="11">
        <f t="shared" si="4"/>
        <v>5.2999999999999989</v>
      </c>
      <c r="B42" s="32" t="s">
        <v>131</v>
      </c>
      <c r="C42" s="32" t="s">
        <v>170</v>
      </c>
      <c r="D42" s="38">
        <f>'Financial Statements'!B119/'List of Ratios'!D43</f>
        <v>58.177161683572777</v>
      </c>
      <c r="E42" s="38">
        <f>'Financial Statements'!C119/'List of Ratios'!E43</f>
        <v>48.269114341892532</v>
      </c>
      <c r="F42" s="38">
        <f>'Financial Statements'!D119/'List of Ratios'!F43</f>
        <v>48.440741394572917</v>
      </c>
      <c r="G42" s="34"/>
      <c r="H42" s="34"/>
      <c r="I42" s="34"/>
    </row>
    <row r="43" spans="1:9" x14ac:dyDescent="0.3">
      <c r="A43" s="11">
        <f t="shared" si="4"/>
        <v>5.3999999999999986</v>
      </c>
      <c r="B43" s="35" t="s">
        <v>132</v>
      </c>
      <c r="C43" s="36" t="s">
        <v>222</v>
      </c>
      <c r="D43" s="33">
        <f>('Financial Statements'!B48-'Financial Statements'!B62)/'Financial Statements'!B139</f>
        <v>3.1037952827971451</v>
      </c>
      <c r="E43" s="33">
        <f>('Financial Statements'!C48-'Financial Statements'!C62)/'Financial Statements'!C139</f>
        <v>3.740901453484597</v>
      </c>
      <c r="F43" s="33">
        <f>('Financial Statements'!D48-'Financial Statements'!D62)/'Financial Statements'!D139</f>
        <v>3.7276473233382479</v>
      </c>
      <c r="G43" s="34"/>
      <c r="H43" s="34"/>
      <c r="I43" s="34" t="s">
        <v>226</v>
      </c>
    </row>
    <row r="44" spans="1:9" x14ac:dyDescent="0.3">
      <c r="A44" s="11">
        <f t="shared" si="4"/>
        <v>5.4999999999999982</v>
      </c>
      <c r="B44" s="32" t="s">
        <v>133</v>
      </c>
      <c r="C44" s="32" t="s">
        <v>171</v>
      </c>
      <c r="D44" s="33">
        <f>D45/D41</f>
        <v>-0.14878083013397297</v>
      </c>
      <c r="E44" s="33">
        <f t="shared" ref="E44:F44" si="5">E45/E41</f>
        <v>-0.15290840583271573</v>
      </c>
      <c r="F44" s="33">
        <f t="shared" si="5"/>
        <v>-0.24491872388584765</v>
      </c>
      <c r="G44" s="34"/>
      <c r="H44" s="34"/>
      <c r="I44" s="34"/>
    </row>
    <row r="45" spans="1:9" x14ac:dyDescent="0.3">
      <c r="A45" s="11"/>
      <c r="B45" s="35" t="s">
        <v>134</v>
      </c>
      <c r="C45" s="36" t="s">
        <v>172</v>
      </c>
      <c r="D45" s="33">
        <f>'Financial Statements'!B102/'Financial Statements'!B139</f>
        <v>-0.90905087211857494</v>
      </c>
      <c r="E45" s="33">
        <f>'Financial Statements'!C102/'Financial Statements'!C139</f>
        <v>-0.85781615672153533</v>
      </c>
      <c r="F45" s="33">
        <f>'Financial Statements'!D102/'Financial Statements'!D139</f>
        <v>-0.80333341434558025</v>
      </c>
      <c r="G45" s="34"/>
      <c r="H45" s="34" t="s">
        <v>248</v>
      </c>
      <c r="I45" s="34" t="s">
        <v>227</v>
      </c>
    </row>
    <row r="46" spans="1:9" x14ac:dyDescent="0.3">
      <c r="A46" s="11">
        <f>+A44+0.1</f>
        <v>5.5999999999999979</v>
      </c>
      <c r="B46" s="32" t="s">
        <v>135</v>
      </c>
      <c r="C46" s="32" t="s">
        <v>173</v>
      </c>
      <c r="D46" s="33">
        <f>D45/'Financial Statements'!B119</f>
        <v>-5.0343405444900867E-3</v>
      </c>
      <c r="E46" s="33">
        <f>E45/'Financial Statements'!C119</f>
        <v>-4.7506017429336843E-3</v>
      </c>
      <c r="F46" s="33">
        <f>F45/'Financial Statements'!D119</f>
        <v>-4.4488753078893517E-3</v>
      </c>
      <c r="G46" s="34"/>
      <c r="H46" s="34"/>
      <c r="I46" s="34"/>
    </row>
    <row r="47" spans="1:9" x14ac:dyDescent="0.3">
      <c r="A47" s="11">
        <f t="shared" ref="A47:A50" si="6">+A45+0.1</f>
        <v>0.1</v>
      </c>
      <c r="B47" s="31" t="s">
        <v>136</v>
      </c>
      <c r="C47" s="32" t="s">
        <v>241</v>
      </c>
      <c r="D47" s="33">
        <f>'Financial Statements'!B22/'Financial Statements'!B68</f>
        <v>1.9695887275023682</v>
      </c>
      <c r="E47" s="33">
        <f>'Financial Statements'!C22/'Financial Statements'!C68</f>
        <v>1.5007132667617689</v>
      </c>
      <c r="F47" s="33">
        <f>'Financial Statements'!D22/'Financial Statements'!D68</f>
        <v>0.87866358530127486</v>
      </c>
      <c r="G47" s="34"/>
      <c r="H47" s="34"/>
      <c r="I47" s="34" t="s">
        <v>228</v>
      </c>
    </row>
    <row r="48" spans="1:9" x14ac:dyDescent="0.3">
      <c r="A48" s="11">
        <f t="shared" si="6"/>
        <v>5.6999999999999975</v>
      </c>
      <c r="B48" s="31" t="s">
        <v>137</v>
      </c>
      <c r="C48" s="32" t="s">
        <v>243</v>
      </c>
      <c r="D48" s="33">
        <f>D21/'Financial Statements'!B140</f>
        <v>0.79821026391589978</v>
      </c>
      <c r="E48" s="33">
        <f>E21/'Financial Statements'!C124</f>
        <v>0.48309913489209433</v>
      </c>
      <c r="F48" s="33">
        <f>F21/'Financial Statements'!D124</f>
        <v>0.30338312829525482</v>
      </c>
      <c r="G48" s="34"/>
      <c r="H48" s="34" t="s">
        <v>249</v>
      </c>
      <c r="I48" s="34" t="s">
        <v>229</v>
      </c>
    </row>
    <row r="49" spans="1:9" x14ac:dyDescent="0.3">
      <c r="A49" s="11">
        <f t="shared" si="6"/>
        <v>0.2</v>
      </c>
      <c r="B49" s="32" t="s">
        <v>127</v>
      </c>
      <c r="C49" s="32" t="s">
        <v>179</v>
      </c>
      <c r="D49" s="33">
        <f>D37</f>
        <v>0.28362915040276687</v>
      </c>
      <c r="E49" s="33">
        <f t="shared" ref="E49:F49" si="7">E37</f>
        <v>0.28057905732786081</v>
      </c>
      <c r="F49" s="33">
        <f t="shared" si="7"/>
        <v>0.35451143605196861</v>
      </c>
      <c r="G49" s="34"/>
      <c r="H49" s="34"/>
      <c r="I49" s="34"/>
    </row>
    <row r="50" spans="1:9" x14ac:dyDescent="0.3">
      <c r="A50" s="11">
        <f t="shared" si="6"/>
        <v>5.7999999999999972</v>
      </c>
      <c r="B50" s="32" t="s">
        <v>138</v>
      </c>
      <c r="C50" s="32" t="s">
        <v>223</v>
      </c>
      <c r="D50" s="33">
        <f>D51/D19</f>
        <v>24.715531034923892</v>
      </c>
      <c r="E50" s="33">
        <f t="shared" ref="E50:F50" si="8">E51/E19</f>
        <v>27.432322439180592</v>
      </c>
      <c r="F50" s="33">
        <f t="shared" si="8"/>
        <v>43.77330629370087</v>
      </c>
      <c r="G50" s="34"/>
      <c r="H50" s="34"/>
      <c r="I50" s="34"/>
    </row>
    <row r="51" spans="1:9" x14ac:dyDescent="0.3">
      <c r="A51" s="11"/>
      <c r="B51" s="35" t="s">
        <v>139</v>
      </c>
      <c r="C51" s="36" t="s">
        <v>246</v>
      </c>
      <c r="D51" s="33">
        <f>'Financial Statements'!B141-'Financial Statements'!B36</f>
        <v>3226390.1368299997</v>
      </c>
      <c r="E51" s="33">
        <f>'Financial Statements'!C141-'Financial Statements'!C36</f>
        <v>3298270.4238300002</v>
      </c>
      <c r="F51" s="33">
        <f>'Financial Statements'!D141-'Financial Statements'!D36</f>
        <v>3385602.6019799998</v>
      </c>
      <c r="G51" s="34"/>
      <c r="H51" s="34" t="s">
        <v>250</v>
      </c>
      <c r="I51" s="34" t="s">
        <v>230</v>
      </c>
    </row>
    <row r="52" spans="1:9" x14ac:dyDescent="0.3">
      <c r="D52" s="11"/>
      <c r="E52" s="11"/>
      <c r="F52" s="11"/>
    </row>
    <row r="53" spans="1:9" x14ac:dyDescent="0.3">
      <c r="D53" s="11"/>
      <c r="E53" s="11"/>
      <c r="F53" s="11"/>
    </row>
    <row r="54" spans="1:9" x14ac:dyDescent="0.3">
      <c r="A54" s="6" t="s">
        <v>187</v>
      </c>
      <c r="D54" s="11"/>
      <c r="E54" s="11"/>
      <c r="F54" s="11"/>
    </row>
    <row r="55" spans="1:9" x14ac:dyDescent="0.3">
      <c r="A55" s="1" t="s">
        <v>188</v>
      </c>
      <c r="C55" t="s">
        <v>191</v>
      </c>
      <c r="D55" s="11">
        <f>(('Financial Statements'!B6-'Financial Statements'!C6)/'Financial Statements'!C6)*100</f>
        <v>6.3239764351428418</v>
      </c>
      <c r="E55" s="11">
        <f>(('Financial Statements'!C6-'Financial Statements'!D6)/'Financial Statements'!D6)*100</f>
        <v>34.720743656765436</v>
      </c>
      <c r="F55" s="11"/>
    </row>
    <row r="56" spans="1:9" x14ac:dyDescent="0.3">
      <c r="A56" s="1" t="s">
        <v>189</v>
      </c>
      <c r="C56" t="s">
        <v>191</v>
      </c>
      <c r="D56" s="11">
        <f>(('Financial Statements'!B7-'Financial Statements'!C7)/'Financial Statements'!C7)*100</f>
        <v>14.181951041286078</v>
      </c>
      <c r="E56" s="11">
        <f>(('Financial Statements'!C7-'Financial Statements'!D7)/'Financial Statements'!D7)*100</f>
        <v>27.259708376729652</v>
      </c>
      <c r="F56" s="11"/>
    </row>
    <row r="57" spans="1:9" x14ac:dyDescent="0.3">
      <c r="A57" s="1" t="s">
        <v>190</v>
      </c>
      <c r="C57" t="s">
        <v>191</v>
      </c>
      <c r="D57" s="11">
        <f>(('Financial Statements'!B8-'Financial Statements'!C8)/'Financial Statements'!C8)*100</f>
        <v>7.7937876041846055</v>
      </c>
      <c r="E57" s="11">
        <f>(('Financial Statements'!C8-'Financial Statements'!D8)/'Financial Statements'!D8)*100</f>
        <v>33.25938473307469</v>
      </c>
      <c r="F57" s="11"/>
    </row>
    <row r="58" spans="1:9" x14ac:dyDescent="0.3">
      <c r="A58" s="1" t="s">
        <v>192</v>
      </c>
      <c r="C58" t="s">
        <v>193</v>
      </c>
      <c r="D58" s="11">
        <f>(('Financial Statements'!B13-'Financial Statements'!C13)/'Financial Statements'!C13)*100</f>
        <v>11.741997958596142</v>
      </c>
      <c r="E58" s="11">
        <f>(('Financial Statements'!C13-'Financial Statements'!D13)/'Financial Statements'!D13)*100</f>
        <v>45.61911658218682</v>
      </c>
      <c r="F58" s="11"/>
    </row>
    <row r="59" spans="1:9" x14ac:dyDescent="0.3">
      <c r="A59" s="1" t="s">
        <v>194</v>
      </c>
      <c r="C59" t="s">
        <v>193</v>
      </c>
      <c r="D59" s="11">
        <f>('Financial Statements'!B128/'Financial Statements'!C15)*100</f>
        <v>19.791001186456146</v>
      </c>
      <c r="E59" s="11">
        <f>('Financial Statements'!C128/'Financial Statements'!D15)*100</f>
        <v>16.862201365187712</v>
      </c>
      <c r="F59" s="11"/>
    </row>
    <row r="60" spans="1:9" x14ac:dyDescent="0.3">
      <c r="A60" s="1" t="s">
        <v>195</v>
      </c>
      <c r="C60" t="s">
        <v>193</v>
      </c>
      <c r="D60" s="11">
        <f>('Financial Statements'!B129/'Financial Statements'!C16)*100</f>
        <v>14.203795567287125</v>
      </c>
      <c r="E60" s="11">
        <f>('Financial Statements'!C129/'Financial Statements'!D16)*100</f>
        <v>10.328379192608958</v>
      </c>
      <c r="F60" s="11"/>
    </row>
    <row r="61" spans="1:9" ht="15" thickBot="1" x14ac:dyDescent="0.35">
      <c r="A61" s="20" t="s">
        <v>201</v>
      </c>
      <c r="C61" t="s">
        <v>193</v>
      </c>
      <c r="D61" s="11">
        <f>('Financial Statements'!B130/'Financial Statements'!C48)*100</f>
        <v>0.49942735369029234</v>
      </c>
      <c r="E61" s="11">
        <f>('Financial Statements'!C130/'Financial Statements'!D48)*100</f>
        <v>8.3714123400681704</v>
      </c>
      <c r="F61" s="11"/>
    </row>
    <row r="62" spans="1:9" ht="15" thickTop="1" x14ac:dyDescent="0.3">
      <c r="A62" s="21" t="s">
        <v>41</v>
      </c>
      <c r="C62" t="s">
        <v>193</v>
      </c>
      <c r="D62" s="11">
        <f>('Financial Statements'!B131/'Financial Statements'!C62)*100</f>
        <v>4.9219900525160467</v>
      </c>
      <c r="E62" s="11">
        <f>('Financial Statements'!C131/'Financial Statements'!D62)*100</f>
        <v>11.356841449783213</v>
      </c>
      <c r="F62" s="11"/>
    </row>
    <row r="63" spans="1:9" x14ac:dyDescent="0.3">
      <c r="A63" s="21" t="s">
        <v>202</v>
      </c>
      <c r="C63" t="s">
        <v>193</v>
      </c>
      <c r="D63" s="11">
        <f>('Financial Statements'!B132/'Financial Statements'!C68)*100</f>
        <v>-19.682992550324933</v>
      </c>
      <c r="E63" s="11">
        <f>('Financial Statements'!C132/'Financial Statements'!D68)*100</f>
        <v>-3.4420483937617661</v>
      </c>
      <c r="F63" s="11"/>
    </row>
    <row r="64" spans="1:9" x14ac:dyDescent="0.3">
      <c r="D64" s="11"/>
      <c r="E64" s="11"/>
      <c r="F64" s="11"/>
    </row>
    <row r="65" spans="1:6" x14ac:dyDescent="0.3">
      <c r="A65" s="10" t="s">
        <v>203</v>
      </c>
      <c r="D65" s="11"/>
      <c r="E65" s="11"/>
      <c r="F65" s="11"/>
    </row>
    <row r="66" spans="1:6" x14ac:dyDescent="0.3">
      <c r="A66" s="1" t="s">
        <v>145</v>
      </c>
      <c r="C66" t="s">
        <v>204</v>
      </c>
      <c r="D66" s="11">
        <f>('Financial Statements'!B12/'Financial Statements'!B8)*100</f>
        <v>56.690369438639912</v>
      </c>
      <c r="E66" s="11">
        <f>('Financial Statements'!C12/'Financial Statements'!C8)*100</f>
        <v>58.220640374832222</v>
      </c>
      <c r="F66" s="11">
        <f>('Financial Statements'!D12/'Financial Statements'!D8)*100</f>
        <v>61.76675227218913</v>
      </c>
    </row>
    <row r="67" spans="1:6" x14ac:dyDescent="0.3">
      <c r="A67" s="1" t="s">
        <v>89</v>
      </c>
      <c r="C67" t="s">
        <v>205</v>
      </c>
      <c r="D67" s="11">
        <f>('Financial Statements'!B13/'Financial Statements'!B8)*100</f>
        <v>43.309630561360088</v>
      </c>
      <c r="E67" s="11">
        <f>('Financial Statements'!C13/'Financial Statements'!C8)*100</f>
        <v>41.779359625167778</v>
      </c>
      <c r="F67" s="11">
        <f>('Financial Statements'!D13/'Financial Statements'!D8)*100</f>
        <v>38.233247727810863</v>
      </c>
    </row>
    <row r="68" spans="1:6" x14ac:dyDescent="0.3">
      <c r="A68" s="7" t="s">
        <v>90</v>
      </c>
      <c r="D68" s="11"/>
      <c r="E68" s="11"/>
      <c r="F68" s="11"/>
    </row>
    <row r="69" spans="1:6" x14ac:dyDescent="0.3">
      <c r="A69" s="1" t="s">
        <v>11</v>
      </c>
      <c r="C69" t="s">
        <v>206</v>
      </c>
      <c r="D69" s="11">
        <f>('Financial Statements'!B15/'Financial Statements'!B8)*100</f>
        <v>6.6571483637986653</v>
      </c>
      <c r="E69" s="11">
        <f>('Financial Statements'!C15/'Financial Statements'!C8)*100</f>
        <v>5.9904269074427923</v>
      </c>
      <c r="F69" s="11">
        <f>('Financial Statements'!D15/'Financial Statements'!D8)*100</f>
        <v>6.8309564140393064</v>
      </c>
    </row>
    <row r="70" spans="1:6" x14ac:dyDescent="0.3">
      <c r="A70" s="1" t="s">
        <v>12</v>
      </c>
      <c r="C70" t="s">
        <v>207</v>
      </c>
      <c r="D70" s="11">
        <f>('Financial Statements'!B16/'Financial Statements'!B8)*100</f>
        <v>6.3637378020328264</v>
      </c>
      <c r="E70" s="11">
        <f>('Financial Statements'!C16/'Financial Statements'!C8)*100</f>
        <v>6.0065551901633878</v>
      </c>
      <c r="F70" s="11">
        <f>('Financial Statements'!D16/'Financial Statements'!D8)*100</f>
        <v>7.254976959364698</v>
      </c>
    </row>
    <row r="71" spans="1:6" x14ac:dyDescent="0.3">
      <c r="A71" s="1" t="s">
        <v>14</v>
      </c>
      <c r="C71" t="s">
        <v>208</v>
      </c>
      <c r="D71" s="11">
        <f>('Financial Statements'!B18/'Financial Statements'!B8)*100</f>
        <v>30.288744395528592</v>
      </c>
      <c r="E71" s="11">
        <f>('Financial Statements'!C18/'Financial Statements'!C8)*100</f>
        <v>29.782377527561593</v>
      </c>
      <c r="F71" s="11">
        <f>('Financial Statements'!D18/'Financial Statements'!D8)*100</f>
        <v>24.147314354406863</v>
      </c>
    </row>
    <row r="72" spans="1:6" x14ac:dyDescent="0.3">
      <c r="A72" s="1" t="s">
        <v>93</v>
      </c>
      <c r="C72" t="s">
        <v>209</v>
      </c>
      <c r="D72" s="11">
        <f>('Financial Statements'!B22/'Financial Statements'!B8)*100</f>
        <v>25.309640705199733</v>
      </c>
      <c r="E72" s="11">
        <f>('Financial Statements'!C22/'Financial Statements'!C8)*100</f>
        <v>25.881793355694239</v>
      </c>
      <c r="F72" s="11">
        <f>('Financial Statements'!D22/'Financial Statements'!D8)*100</f>
        <v>20.913611278072235</v>
      </c>
    </row>
    <row r="73" spans="1:6" x14ac:dyDescent="0.3">
      <c r="A73" s="1"/>
      <c r="D73" s="11"/>
      <c r="E73" s="11"/>
      <c r="F73" s="11"/>
    </row>
    <row r="74" spans="1:6" x14ac:dyDescent="0.3">
      <c r="A74" s="6" t="s">
        <v>224</v>
      </c>
      <c r="D74" s="11"/>
      <c r="E74" s="11"/>
      <c r="F74" s="11"/>
    </row>
    <row r="75" spans="1:6" x14ac:dyDescent="0.3">
      <c r="A75" s="1" t="s">
        <v>94</v>
      </c>
      <c r="D75" s="11"/>
      <c r="E75" s="11"/>
      <c r="F75" s="11"/>
    </row>
    <row r="76" spans="1:6" x14ac:dyDescent="0.3">
      <c r="A76" s="1" t="s">
        <v>95</v>
      </c>
      <c r="C76" t="s">
        <v>210</v>
      </c>
      <c r="D76" s="11">
        <f>(('Financial Statements'!B45-'Financial Statements'!C45+'Financial Statements'!B79)/'Financial Statements'!B8)*100</f>
        <v>3.4948063541011543</v>
      </c>
      <c r="E76" s="11">
        <f>(('Financial Statements'!C45-'Financial Statements'!D45+'Financial Statements'!C79)/'Financial Statements'!C8)*100</f>
        <v>3.815568986679132</v>
      </c>
      <c r="F76" s="11">
        <f>(('Financial Statements'!D45-'Financial Statements'!E45+'Financial Statements'!D79)/'Financial Statements'!D8)*100</f>
        <v>17.420541682603865</v>
      </c>
    </row>
    <row r="77" spans="1:6" x14ac:dyDescent="0.3">
      <c r="A77" s="1" t="s">
        <v>96</v>
      </c>
      <c r="C77" t="s">
        <v>211</v>
      </c>
      <c r="D77" s="11">
        <f>(('Financial Statements'!B45-'Financial Statements'!C45+'Financial Statements'!B79)/'Financial Statements'!B45)*100</f>
        <v>32.720754089797474</v>
      </c>
      <c r="E77" s="11">
        <f>(('Financial Statements'!C45-'Financial Statements'!D45+'Financial Statements'!C79)/'Financial Statements'!C45)*100</f>
        <v>35.390466531440161</v>
      </c>
      <c r="F77" s="11">
        <f>(('Financial Statements'!D45-'Financial Statements'!E45+'Financial Statements'!D79)/'Financial Statements'!D45)*100</f>
        <v>130.07126149159549</v>
      </c>
    </row>
  </sheetData>
  <mergeCells count="1">
    <mergeCell ref="D2:F2"/>
  </mergeCells>
  <phoneticPr fontId="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Financial Statements</vt:lpstr>
      <vt:lpstr>List of Ratios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2020-05-18T16:32:37Z</dcterms:created>
  <dcterms:modified xsi:type="dcterms:W3CDTF">2023-06-15T16:12:28Z</dcterms:modified>
</cp:coreProperties>
</file>