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3040" windowHeight="8400"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3" l="1"/>
  <c r="E30" i="3"/>
  <c r="C30" i="3"/>
  <c r="D31" i="3"/>
  <c r="E31" i="3"/>
  <c r="C31" i="3"/>
  <c r="D8" i="3"/>
  <c r="E8" i="3"/>
  <c r="C8" i="3"/>
  <c r="D12" i="3"/>
  <c r="E12" i="3"/>
  <c r="C12" i="3"/>
  <c r="D13" i="3"/>
  <c r="E13" i="3"/>
  <c r="C13" i="3"/>
  <c r="D14" i="3"/>
  <c r="E14" i="3"/>
  <c r="C14" i="3"/>
  <c r="D29" i="3"/>
  <c r="E29" i="3"/>
  <c r="C29" i="3"/>
  <c r="D28" i="3"/>
  <c r="E28" i="3"/>
  <c r="C28" i="3"/>
  <c r="D83" i="3" l="1"/>
  <c r="E83" i="3"/>
  <c r="D84" i="3"/>
  <c r="E84" i="3"/>
  <c r="C84" i="3"/>
  <c r="C83" i="3"/>
  <c r="D74" i="3"/>
  <c r="E74" i="3"/>
  <c r="D75" i="3"/>
  <c r="E75" i="3"/>
  <c r="D76" i="3"/>
  <c r="E76" i="3"/>
  <c r="D77" i="3"/>
  <c r="E77" i="3"/>
  <c r="D78" i="3"/>
  <c r="E78" i="3"/>
  <c r="C78" i="3"/>
  <c r="C77" i="3"/>
  <c r="C76" i="3"/>
  <c r="C75" i="3"/>
  <c r="C74" i="3"/>
  <c r="D68" i="3"/>
  <c r="D69" i="3"/>
  <c r="D70" i="3"/>
  <c r="C69" i="3"/>
  <c r="C70" i="3"/>
  <c r="C68" i="3"/>
  <c r="D65" i="3"/>
  <c r="D66" i="3"/>
  <c r="C66" i="3"/>
  <c r="C65" i="3"/>
  <c r="D62" i="3"/>
  <c r="D63" i="3"/>
  <c r="C63" i="3"/>
  <c r="C62" i="3"/>
  <c r="D58" i="3"/>
  <c r="D59" i="3"/>
  <c r="D60" i="3"/>
  <c r="C59" i="3"/>
  <c r="C60" i="3"/>
  <c r="C58" i="3"/>
  <c r="C50" i="3"/>
  <c r="C51" i="3"/>
  <c r="D51" i="3"/>
  <c r="D50" i="3" s="1"/>
  <c r="E51" i="3"/>
  <c r="E50" i="3" s="1"/>
  <c r="D48" i="3"/>
  <c r="E48" i="3"/>
  <c r="C48" i="3"/>
  <c r="D46" i="3"/>
  <c r="E46" i="3"/>
  <c r="C46" i="3"/>
  <c r="D44" i="3"/>
  <c r="E44" i="3"/>
  <c r="C44" i="3"/>
  <c r="D42" i="3"/>
  <c r="E42" i="3"/>
  <c r="C42" i="3"/>
  <c r="D40" i="3"/>
  <c r="E40" i="3"/>
  <c r="C40" i="3"/>
  <c r="D45" i="3"/>
  <c r="E45" i="3"/>
  <c r="C45" i="3"/>
  <c r="D41" i="3"/>
  <c r="E41" i="3"/>
  <c r="C41" i="3"/>
  <c r="D108" i="1" l="1"/>
  <c r="C108" i="1"/>
  <c r="B108" i="1"/>
  <c r="D99" i="1"/>
  <c r="C99" i="1"/>
  <c r="B99" i="1"/>
  <c r="D68" i="1" l="1"/>
  <c r="C68" i="1"/>
  <c r="B68" i="1"/>
  <c r="D61" i="1"/>
  <c r="C61" i="1"/>
  <c r="B61" i="1"/>
  <c r="D56" i="1"/>
  <c r="C56" i="1"/>
  <c r="B56" i="1"/>
  <c r="D47" i="1"/>
  <c r="C47" i="1"/>
  <c r="B47" i="1"/>
  <c r="D42" i="1"/>
  <c r="C42" i="1"/>
  <c r="B42" i="1"/>
  <c r="C5" i="3" s="1"/>
  <c r="D17" i="1"/>
  <c r="C17" i="1"/>
  <c r="B17" i="1"/>
  <c r="D12" i="1"/>
  <c r="C12" i="1"/>
  <c r="B12" i="1"/>
  <c r="D8" i="1"/>
  <c r="C8" i="1"/>
  <c r="B8" i="1"/>
  <c r="E3" i="3"/>
  <c r="D3" i="3"/>
  <c r="C3" i="3"/>
  <c r="D33" i="1"/>
  <c r="D73" i="1" s="1"/>
  <c r="C33" i="1"/>
  <c r="C73" i="1" s="1"/>
  <c r="B33" i="1"/>
  <c r="B73" i="1" s="1"/>
  <c r="D11" i="3" l="1"/>
  <c r="D10" i="3"/>
  <c r="D9" i="3"/>
  <c r="D36" i="3"/>
  <c r="C25" i="3"/>
  <c r="C43" i="3"/>
  <c r="C27" i="3"/>
  <c r="D13" i="1"/>
  <c r="D18" i="1" s="1"/>
  <c r="E35" i="3"/>
  <c r="D43" i="3"/>
  <c r="D25" i="3"/>
  <c r="D27" i="3"/>
  <c r="B13" i="1"/>
  <c r="C35" i="3"/>
  <c r="C62" i="1"/>
  <c r="D6" i="3"/>
  <c r="D7" i="3"/>
  <c r="D35" i="3"/>
  <c r="E11" i="3"/>
  <c r="E10" i="3"/>
  <c r="E36" i="3"/>
  <c r="E9" i="3"/>
  <c r="E6" i="3"/>
  <c r="E7" i="3"/>
  <c r="C10" i="3"/>
  <c r="C11" i="3"/>
  <c r="C36" i="3"/>
  <c r="C9" i="3"/>
  <c r="E5" i="3"/>
  <c r="B62" i="1"/>
  <c r="B69" i="1" s="1"/>
  <c r="C6" i="3"/>
  <c r="C7" i="3"/>
  <c r="E25" i="3"/>
  <c r="E27" i="3"/>
  <c r="E43" i="3"/>
  <c r="D5" i="3"/>
  <c r="B48" i="1"/>
  <c r="C26" i="3" s="1"/>
  <c r="C13" i="1"/>
  <c r="C18" i="1" s="1"/>
  <c r="B18" i="1"/>
  <c r="C48" i="1"/>
  <c r="D26" i="3" s="1"/>
  <c r="D62" i="1"/>
  <c r="D69" i="1" s="1"/>
  <c r="C69" i="1"/>
  <c r="D48" i="1"/>
  <c r="E26" i="3" s="1"/>
  <c r="A47" i="3"/>
  <c r="A49" i="3" s="1"/>
  <c r="A16" i="3"/>
  <c r="A17" i="3" s="1"/>
  <c r="A18" i="3" s="1"/>
  <c r="A20" i="3" s="1"/>
  <c r="A22" i="3" s="1"/>
  <c r="A5" i="3"/>
  <c r="A6" i="3" s="1"/>
  <c r="A7" i="3" s="1"/>
  <c r="A8" i="3" s="1"/>
  <c r="A9" i="3" s="1"/>
  <c r="A10" i="3" s="1"/>
  <c r="A11" i="3" s="1"/>
  <c r="A12" i="3" s="1"/>
  <c r="A13" i="3" s="1"/>
  <c r="B20" i="1" l="1"/>
  <c r="C17" i="3"/>
  <c r="C20" i="1"/>
  <c r="D17" i="3"/>
  <c r="D20" i="1"/>
  <c r="E17" i="3"/>
  <c r="C34" i="3"/>
  <c r="E34" i="3"/>
  <c r="D34" i="3"/>
  <c r="A24" i="3"/>
  <c r="A25" i="3" s="1"/>
  <c r="A26" i="3" s="1"/>
  <c r="A27" i="3" s="1"/>
  <c r="A28" i="3" s="1"/>
  <c r="A29" i="3" s="1"/>
  <c r="A30" i="3" s="1"/>
  <c r="A33" i="3" l="1"/>
  <c r="A34" i="3" s="1"/>
  <c r="A35" i="3" s="1"/>
  <c r="A36" i="3" s="1"/>
  <c r="A37" i="3" s="1"/>
  <c r="C22" i="1"/>
  <c r="D19" i="3"/>
  <c r="D18" i="3" s="1"/>
  <c r="D21" i="3"/>
  <c r="D20" i="3" s="1"/>
  <c r="D22" i="1"/>
  <c r="E21" i="3"/>
  <c r="E20" i="3" s="1"/>
  <c r="E19" i="3"/>
  <c r="E18" i="3" s="1"/>
  <c r="B22" i="1"/>
  <c r="C21" i="3"/>
  <c r="C20" i="3" s="1"/>
  <c r="C19" i="3"/>
  <c r="C18" i="3" s="1"/>
  <c r="A39" i="3"/>
  <c r="A40" i="3" s="1"/>
  <c r="A41" i="3" s="1"/>
  <c r="A42" i="3" s="1"/>
  <c r="A43" i="3" s="1"/>
  <c r="A44" i="3" s="1"/>
  <c r="A46" i="3" s="1"/>
  <c r="A48" i="3" s="1"/>
  <c r="A50" i="3" s="1"/>
  <c r="D76" i="1" l="1"/>
  <c r="D91" i="1" s="1"/>
  <c r="D109" i="1" s="1"/>
  <c r="E47" i="3"/>
  <c r="E22" i="3"/>
  <c r="E37" i="3"/>
  <c r="E49" i="3" s="1"/>
  <c r="B76" i="1"/>
  <c r="B91" i="1" s="1"/>
  <c r="B109" i="1" s="1"/>
  <c r="C22" i="3"/>
  <c r="C47" i="3"/>
  <c r="C37" i="3"/>
  <c r="C49" i="3" s="1"/>
  <c r="C76" i="1"/>
  <c r="C91" i="1" s="1"/>
  <c r="C109" i="1" s="1"/>
  <c r="D22" i="3"/>
  <c r="D47" i="3"/>
  <c r="D37" i="3"/>
  <c r="D49" i="3" s="1"/>
</calcChain>
</file>

<file path=xl/sharedStrings.xml><?xml version="1.0" encoding="utf-8"?>
<sst xmlns="http://schemas.openxmlformats.org/spreadsheetml/2006/main" count="213" uniqueCount="169">
  <si>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</si>
  <si>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</si>
  <si>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</si>
  <si>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</si>
  <si>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</si>
  <si>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</si>
  <si>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</si>
  <si>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</si>
  <si>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</si>
  <si>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</si>
  <si>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</si>
  <si>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</si>
  <si>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</si>
  <si>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</si>
  <si>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</si>
  <si>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</si>
  <si>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</si>
  <si>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</si>
  <si>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</si>
  <si>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</si>
  <si>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</si>
  <si>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</si>
  <si>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</si>
  <si>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</si>
  <si>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</si>
  <si>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</si>
  <si>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</si>
  <si>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</si>
  <si>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</si>
  <si>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</si>
  <si>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</si>
  <si>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</si>
  <si>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</si>
  <si>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</si>
  <si>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</si>
  <si>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</si>
  <si>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</si>
  <si>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</si>
  <si>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</si>
  <si>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</si>
  <si>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</si>
  <si>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</si>
  <si>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</si>
  <si>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</si>
  <si>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</si>
  <si>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</si>
  <si>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</si>
  <si>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</si>
  <si>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</si>
  <si>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</si>
  <si>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</si>
  <si>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</si>
  <si>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</si>
  <si>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</si>
  <si>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</si>
  <si>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</si>
  <si>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</si>
  <si>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</si>
  <si>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</si>
  <si>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</si>
  <si>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</si>
  <si>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</si>
  <si>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</si>
  <si>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</si>
  <si>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</si>
  <si>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</si>
  <si>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</si>
  <si>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</si>
  <si>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</si>
  <si>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</si>
  <si>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</si>
  <si>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</si>
  <si>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</si>
  <si>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</si>
  <si>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</si>
  <si>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</si>
  <si>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</si>
  <si>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</si>
  <si>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</si>
  <si>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</si>
  <si>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</si>
  <si>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</si>
  <si>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</si>
  <si>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</si>
  <si>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</si>
  <si>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</si>
  <si>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</si>
  <si>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</si>
  <si>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</si>
  <si>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</si>
  <si>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</si>
  <si>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</si>
  <si>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</si>
  <si>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</si>
  <si>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</si>
  <si>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</si>
  <si>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</si>
  <si>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</si>
  <si>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</si>
  <si>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</si>
  <si>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</si>
  <si>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</si>
  <si>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</si>
  <si>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</si>
  <si>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</si>
  <si>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</si>
  <si>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</si>
  <si>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</si>
  <si>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</si>
  <si>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</si>
  <si>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</si>
  <si>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</si>
  <si>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</si>
  <si>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</si>
  <si>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</si>
  <si>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</si>
  <si>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</si>
  <si>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</si>
  <si>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</si>
  <si>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</si>
  <si>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</si>
  <si>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</si>
  <si>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</si>
  <si>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</si>
  <si>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</si>
  <si>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</si>
  <si>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</si>
  <si>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</si>
  <si>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</si>
  <si>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</si>
  <si>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</si>
  <si>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</si>
  <si>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</si>
  <si>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</si>
  <si>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</si>
  <si>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</si>
  <si>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</si>
  <si>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</si>
  <si>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</si>
  <si>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</si>
  <si>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</si>
  <si>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</si>
  <si>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</si>
  <si>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</si>
  <si>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</si>
  <si>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</si>
  <si>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</si>
  <si>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</si>
  <si>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</si>
  <si>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</si>
  <si>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Price</t>
  </si>
  <si>
    <t>GROWTH RATES</t>
  </si>
  <si>
    <t>EBT</t>
  </si>
  <si>
    <t>MARGINS</t>
  </si>
  <si>
    <t>OTHER RATIOS</t>
  </si>
  <si>
    <t>Quick Assets / Current Liabilities. Do not include Vendor non trade receivables and Other current assets in Quick assets</t>
  </si>
  <si>
    <t>Current Assets / Daily Operational Expenses where Daily Operational Expenses = (Annual Operating Expenses - Noncash Charges) / 365</t>
  </si>
  <si>
    <t>Denominator should be Sales revenue not COGS</t>
  </si>
  <si>
    <t>Operating income - Depreciation &amp; Amortization (from cash flow statement)</t>
  </si>
  <si>
    <t>Should be Operating income (which doesn't include interest)</t>
  </si>
  <si>
    <t>Inventory Days + Receivable Days - Payable Days</t>
  </si>
  <si>
    <t>Include only term debt, since differed revenue is not an actual form of capital</t>
  </si>
  <si>
    <t>Include only term debt under long term liabilities, since differed revenue is not an actual form of capital. Short term debt is not a form of capital</t>
  </si>
  <si>
    <t>Include only term debt under debt, since differed revenue is not an actual form of capital</t>
  </si>
  <si>
    <t>EBIT / Interest Expense. EBIT is operating Income, Interest expense can be found at the bottom of cash flow</t>
  </si>
  <si>
    <t>Net Operating Income/ (Interest + Debt repayment) where Interest expense can be found at the bottom of cash flow and debt repayment can be found in the cash flow</t>
  </si>
  <si>
    <t>Include only term debt (in non-current liabilities), since differed revenue is not actual debt, it is an accounting charge</t>
  </si>
  <si>
    <t>Cash from operations + Capex + Net debt issued. Capex (addition to PPE) and Debt issues can be found in cash flow statement. When you calculate Capex using the difference between PPE, depreciation should be added back.</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</si>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</sst>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FF0000"/>
      <name val="Calibri"/>
      <family val="2"/>
      <scheme val="minor"/>
    </font>
    <font>
      <sz val="11"/>
      <name val="Calibri"/>
      <family val="2"/>
      <scheme val="minor"/>
    </font>
    <font>
      <b/>
      <sz val="11"/>
      <color rgb="FFC00000"/>
      <name val="Calibri"/>
      <family val="2"/>
      <scheme val="minor"/>
    </font>
    <font>
      <b/>
      <sz val="16"/>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2" fontId="0" fillId="0" borderId="0" xfId="0" applyNumberFormat="1"/>
    <xf numFmtId="2" fontId="0" fillId="0" borderId="0" xfId="0" applyNumberFormat="1" applyAlignment="1">
      <alignment horizontal="center" vertical="center"/>
    </xf>
    <xf numFmtId="0" fontId="8" fillId="0" borderId="0" xfId="0" applyFont="1"/>
    <xf numFmtId="10" fontId="0" fillId="0" borderId="0" xfId="3" applyNumberFormat="1" applyFont="1"/>
    <xf numFmtId="10" fontId="0" fillId="0" borderId="0" xfId="0" applyNumberFormat="1"/>
    <xf numFmtId="166" fontId="9" fillId="0" borderId="0" xfId="0" applyNumberFormat="1" applyFont="1"/>
    <xf numFmtId="0" fontId="9" fillId="0" borderId="0" xfId="0" applyFont="1" applyAlignment="1">
      <alignment horizontal="left" indent="1"/>
    </xf>
    <xf numFmtId="0" fontId="10" fillId="0" borderId="0" xfId="0" applyFont="1"/>
    <xf numFmtId="164" fontId="10" fillId="0" borderId="0" xfId="1" applyNumberFormat="1" applyFont="1"/>
    <xf numFmtId="164" fontId="0" fillId="0" borderId="0" xfId="0" applyNumberFormat="1"/>
    <xf numFmtId="165" fontId="0" fillId="0" borderId="0" xfId="0" applyNumberFormat="1"/>
    <xf numFmtId="0" fontId="2" fillId="5" borderId="0" xfId="0" applyFont="1" applyFill="1"/>
    <xf numFmtId="0" fontId="9" fillId="0" borderId="0" xfId="0" applyFont="1"/>
    <xf numFmtId="0" fontId="2" fillId="0" borderId="0" xfId="0" applyFont="1" applyAlignment="1">
      <alignment horizontal="center"/>
    </xf>
    <xf numFmtId="0" fontId="2" fillId="3" borderId="0" xfId="0" applyFont="1" applyFill="1" applyAlignment="1">
      <alignment horizontal="center"/>
    </xf>
    <xf numFmtId="0" fontId="11" fillId="2"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4" sqref="A4"/>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A71" workbookViewId="0">
      <selection activeCell="D96" sqref="D96"/>
    </sheetView>
  </sheetViews>
  <sheetFormatPr defaultRowHeight="14.4" x14ac:dyDescent="0.3"/>
  <cols>
    <col min="1" max="1" width="59" customWidth="1"/>
    <col min="2" max="2" width="12.109375" customWidth="1"/>
    <col min="3" max="3" width="11.554687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37" t="s">
        <v>1</v>
      </c>
      <c r="B2" s="37"/>
      <c r="C2" s="37"/>
      <c r="D2" s="37"/>
    </row>
    <row r="3" spans="1:10" x14ac:dyDescent="0.3">
      <c r="B3" s="36" t="s">
        <v>23</v>
      </c>
      <c r="C3" s="36"/>
      <c r="D3" s="36"/>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8" x14ac:dyDescent="0.3">
      <c r="A17" s="8" t="s">
        <v>13</v>
      </c>
      <c r="B17" s="13">
        <f>+B15+B16</f>
        <v>51345</v>
      </c>
      <c r="C17" s="13">
        <f t="shared" ref="C17" si="3">+C15+C16</f>
        <v>43887</v>
      </c>
      <c r="D17" s="13">
        <f t="shared" ref="D17" si="4">+D15+D16</f>
        <v>38668</v>
      </c>
    </row>
    <row r="18" spans="1:8" s="7" customFormat="1" x14ac:dyDescent="0.3">
      <c r="A18" s="8" t="s">
        <v>14</v>
      </c>
      <c r="B18" s="13">
        <f>+B13-B17</f>
        <v>119437</v>
      </c>
      <c r="C18" s="13">
        <f t="shared" ref="C18:D18" si="5">+C13-C17</f>
        <v>108949</v>
      </c>
      <c r="D18" s="13">
        <f t="shared" si="5"/>
        <v>66288</v>
      </c>
    </row>
    <row r="19" spans="1:8" x14ac:dyDescent="0.3">
      <c r="A19" t="s">
        <v>15</v>
      </c>
      <c r="B19" s="12">
        <v>-334</v>
      </c>
      <c r="C19" s="12">
        <v>258</v>
      </c>
      <c r="D19" s="12">
        <v>803</v>
      </c>
    </row>
    <row r="20" spans="1:8" x14ac:dyDescent="0.3">
      <c r="A20" s="8" t="s">
        <v>16</v>
      </c>
      <c r="B20" s="13">
        <f>+B18+B19</f>
        <v>119103</v>
      </c>
      <c r="C20" s="13">
        <f t="shared" ref="C20:D20" si="6">+C18+C19</f>
        <v>109207</v>
      </c>
      <c r="D20" s="13">
        <f t="shared" si="6"/>
        <v>67091</v>
      </c>
    </row>
    <row r="21" spans="1:8" x14ac:dyDescent="0.3">
      <c r="A21" t="s">
        <v>17</v>
      </c>
      <c r="B21" s="12">
        <v>19300</v>
      </c>
      <c r="C21" s="12">
        <v>14527</v>
      </c>
      <c r="D21" s="12">
        <v>9680</v>
      </c>
    </row>
    <row r="22" spans="1:8" ht="15" thickBot="1" x14ac:dyDescent="0.35">
      <c r="A22" s="9" t="s">
        <v>18</v>
      </c>
      <c r="B22" s="14">
        <f>+B20-B21</f>
        <v>99803</v>
      </c>
      <c r="C22" s="14">
        <f t="shared" ref="C22:D22" si="7">+C20-C21</f>
        <v>94680</v>
      </c>
      <c r="D22" s="14">
        <f t="shared" si="7"/>
        <v>57411</v>
      </c>
    </row>
    <row r="23" spans="1:8" ht="15" thickTop="1" x14ac:dyDescent="0.3">
      <c r="A23" t="s">
        <v>19</v>
      </c>
    </row>
    <row r="24" spans="1:8" x14ac:dyDescent="0.3">
      <c r="A24" s="1" t="s">
        <v>20</v>
      </c>
      <c r="B24" s="10">
        <v>6.15</v>
      </c>
      <c r="C24" s="10">
        <v>5.67</v>
      </c>
      <c r="D24" s="10">
        <v>3.31</v>
      </c>
      <c r="F24" s="32"/>
      <c r="G24" s="32"/>
      <c r="H24" s="32"/>
    </row>
    <row r="25" spans="1:8" x14ac:dyDescent="0.3">
      <c r="A25" s="1" t="s">
        <v>21</v>
      </c>
      <c r="B25" s="10">
        <v>6.11</v>
      </c>
      <c r="C25" s="10">
        <v>5.61</v>
      </c>
      <c r="D25" s="10">
        <v>3.28</v>
      </c>
      <c r="F25" s="32"/>
      <c r="G25" s="32"/>
      <c r="H25" s="32"/>
    </row>
    <row r="26" spans="1:8" x14ac:dyDescent="0.3">
      <c r="A26" t="s">
        <v>22</v>
      </c>
    </row>
    <row r="27" spans="1:8" x14ac:dyDescent="0.3">
      <c r="A27" s="1" t="s">
        <v>20</v>
      </c>
      <c r="B27" s="2">
        <v>16215963</v>
      </c>
      <c r="C27" s="2">
        <v>16701272</v>
      </c>
      <c r="D27" s="2">
        <v>17352119</v>
      </c>
    </row>
    <row r="28" spans="1:8" x14ac:dyDescent="0.3">
      <c r="A28" s="1" t="s">
        <v>21</v>
      </c>
      <c r="B28" s="2">
        <v>16325819</v>
      </c>
      <c r="C28" s="2">
        <v>16864919</v>
      </c>
      <c r="D28" s="2">
        <v>17528214</v>
      </c>
    </row>
    <row r="29" spans="1:8" x14ac:dyDescent="0.3">
      <c r="B29" s="32"/>
    </row>
    <row r="30" spans="1:8" x14ac:dyDescent="0.3">
      <c r="A30" s="30" t="s">
        <v>150</v>
      </c>
      <c r="B30" s="31">
        <v>138.19999999999999</v>
      </c>
      <c r="C30" s="30">
        <v>141.5</v>
      </c>
      <c r="D30" s="30">
        <v>115.81</v>
      </c>
    </row>
    <row r="31" spans="1:8" x14ac:dyDescent="0.3">
      <c r="A31" s="37" t="s">
        <v>24</v>
      </c>
      <c r="B31" s="37"/>
      <c r="C31" s="37"/>
      <c r="D31" s="37"/>
    </row>
    <row r="32" spans="1:8" x14ac:dyDescent="0.3">
      <c r="B32" s="36" t="s">
        <v>142</v>
      </c>
      <c r="C32" s="36"/>
      <c r="D32" s="36"/>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37" t="s">
        <v>55</v>
      </c>
      <c r="B71" s="37"/>
      <c r="C71" s="37"/>
      <c r="D71" s="37"/>
    </row>
    <row r="72" spans="1:4" x14ac:dyDescent="0.3">
      <c r="B72" s="36" t="s">
        <v>23</v>
      </c>
      <c r="C72" s="36"/>
      <c r="D72" s="36"/>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workbookViewId="0">
      <selection activeCell="B1" sqref="B1"/>
    </sheetView>
  </sheetViews>
  <sheetFormatPr defaultRowHeight="14.4" x14ac:dyDescent="0.3"/>
  <cols>
    <col min="1" max="1" width="4.6640625" customWidth="1"/>
    <col min="2" max="2" width="44.88671875" customWidth="1"/>
    <col min="3" max="3" width="12.5546875" bestFit="1" customWidth="1"/>
    <col min="4" max="5" width="10.5546875" bestFit="1" customWidth="1"/>
    <col min="7" max="7" width="36.6640625" customWidth="1"/>
  </cols>
  <sheetData>
    <row r="1" spans="1:10" ht="60" customHeight="1" x14ac:dyDescent="0.5">
      <c r="A1" s="6"/>
      <c r="B1" s="20" t="s">
        <v>0</v>
      </c>
      <c r="C1" s="19"/>
      <c r="D1" s="19"/>
      <c r="E1" s="19"/>
      <c r="F1" s="19"/>
      <c r="G1" s="38" t="s">
        <v>168</v>
      </c>
      <c r="H1" s="19"/>
      <c r="I1" s="19"/>
      <c r="J1" s="19"/>
    </row>
    <row r="2" spans="1:10" x14ac:dyDescent="0.3">
      <c r="C2" s="36" t="s">
        <v>23</v>
      </c>
      <c r="D2" s="36"/>
      <c r="E2" s="36"/>
    </row>
    <row r="3" spans="1:10" x14ac:dyDescent="0.3">
      <c r="C3" s="7">
        <f>+'Financial Statements'!B4</f>
        <v>2022</v>
      </c>
      <c r="D3" s="7">
        <f>+'Financial Statements'!C4</f>
        <v>2021</v>
      </c>
      <c r="E3" s="7">
        <f>+'Financial Statements'!D4</f>
        <v>2020</v>
      </c>
    </row>
    <row r="4" spans="1:10" x14ac:dyDescent="0.3">
      <c r="A4" s="18">
        <v>1</v>
      </c>
      <c r="B4" s="7" t="s">
        <v>99</v>
      </c>
    </row>
    <row r="5" spans="1:10" x14ac:dyDescent="0.3">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row>
    <row r="6" spans="1:10" x14ac:dyDescent="0.3">
      <c r="A6" s="18">
        <f t="shared" ref="A6:A13" si="0">+A5+0.1</f>
        <v>1.2000000000000002</v>
      </c>
      <c r="B6" s="1" t="s">
        <v>101</v>
      </c>
      <c r="C6" s="24">
        <f>('Financial Statements'!B36+'Financial Statements'!B37+'Financial Statements'!B38+'Financial Statements'!B40)/'Financial Statements'!B56</f>
        <v>0.70940759309529688</v>
      </c>
      <c r="D6" s="24">
        <f>('Financial Statements'!C36+'Financial Statements'!C37+'Financial Statements'!C38+'Financial Statements'!C40)/'Financial Statements'!C56</f>
        <v>0.90965962974474224</v>
      </c>
      <c r="E6" s="24">
        <f>('Financial Statements'!D36+'Financial Statements'!D37+'Financial Statements'!D38+'Financial Statements'!D40)/'Financial Statements'!D56</f>
        <v>1.2181949294064065</v>
      </c>
      <c r="G6" t="s">
        <v>155</v>
      </c>
    </row>
    <row r="7" spans="1:10" x14ac:dyDescent="0.3">
      <c r="A7" s="28">
        <f t="shared" si="0"/>
        <v>1.3000000000000003</v>
      </c>
      <c r="B7" s="29" t="s">
        <v>102</v>
      </c>
      <c r="C7" s="24">
        <f>('Financial Statements'!B36+'Financial Statements'!B37)/'Financial Statements'!B56</f>
        <v>0.31369900377966253</v>
      </c>
      <c r="D7" s="24">
        <f>('Financial Statements'!C36+'Financial Statements'!C37)/'Financial Statements'!C56</f>
        <v>0.49919111259872012</v>
      </c>
      <c r="E7" s="24">
        <f>('Financial Statements'!D36+'Financial Statements'!D37)/'Financial Statements'!D56</f>
        <v>0.86290230757552755</v>
      </c>
    </row>
    <row r="8" spans="1:10" s="25" customFormat="1" x14ac:dyDescent="0.3">
      <c r="A8" s="28">
        <f t="shared" si="0"/>
        <v>1.4000000000000004</v>
      </c>
      <c r="B8" s="29" t="s">
        <v>103</v>
      </c>
      <c r="C8" s="35">
        <f>'Financial Statements'!B42/('Financial Statements'!B17/365)</f>
        <v>962.56354075372474</v>
      </c>
      <c r="D8" s="35">
        <f>'Financial Statements'!C42/('Financial Statements'!C17/365)</f>
        <v>1121.4058832911796</v>
      </c>
      <c r="E8" s="35">
        <f>'Financial Statements'!D42/('Financial Statements'!D17/365)</f>
        <v>1356.5543860556534</v>
      </c>
      <c r="G8" t="s">
        <v>156</v>
      </c>
    </row>
    <row r="9" spans="1:10" x14ac:dyDescent="0.3">
      <c r="A9" s="18">
        <f t="shared" si="0"/>
        <v>1.5000000000000004</v>
      </c>
      <c r="B9" s="1" t="s">
        <v>104</v>
      </c>
      <c r="C9" s="24">
        <f>'Financial Statements'!B39/'Financial Statements'!B12*365</f>
        <v>8.0756980666171607</v>
      </c>
      <c r="D9" s="24">
        <f>(AVERAGE('Financial Statements'!B39:'Financial Statements'!C39))/'Financial Statements'!C12*365</f>
        <v>9.8764443776674913</v>
      </c>
      <c r="E9" s="24">
        <f>(AVERAGE('Financial Statements'!C39:'Financial Statements'!D39))/'Financial Statements'!D12*365</f>
        <v>11.453137256058364</v>
      </c>
    </row>
    <row r="10" spans="1:10" x14ac:dyDescent="0.3">
      <c r="A10" s="18">
        <f t="shared" si="0"/>
        <v>1.6000000000000005</v>
      </c>
      <c r="B10" s="1" t="s">
        <v>105</v>
      </c>
      <c r="C10" s="24">
        <f>('Financial Statements'!B51*365)/'Financial Statements'!B12</f>
        <v>104.68527730310539</v>
      </c>
      <c r="D10" s="24">
        <f>('Financial Statements'!C51*365)/'Financial Statements'!C12</f>
        <v>93.85107122231561</v>
      </c>
      <c r="E10" s="24">
        <f>('Financial Statements'!D51*365)/'Financial Statements'!D12</f>
        <v>91.048189715674184</v>
      </c>
    </row>
    <row r="11" spans="1:10" x14ac:dyDescent="0.3">
      <c r="A11" s="18">
        <f t="shared" si="0"/>
        <v>1.7000000000000006</v>
      </c>
      <c r="B11" s="1" t="s">
        <v>106</v>
      </c>
      <c r="C11" s="24">
        <f>'Financial Statements'!B38*365/'Financial Statements'!B12</f>
        <v>46.018090236461397</v>
      </c>
      <c r="D11" s="24">
        <f>'Financial Statements'!C38*365/'Financial Statements'!C12</f>
        <v>45.034392739258429</v>
      </c>
      <c r="E11" s="24">
        <f>'Financial Statements'!D38*365/'Financial Statements'!D12</f>
        <v>34.700605688875257</v>
      </c>
      <c r="G11" t="s">
        <v>157</v>
      </c>
    </row>
    <row r="12" spans="1:10" x14ac:dyDescent="0.3">
      <c r="A12" s="18">
        <f t="shared" si="0"/>
        <v>1.8000000000000007</v>
      </c>
      <c r="B12" s="1" t="s">
        <v>107</v>
      </c>
      <c r="C12">
        <f>('Financial Statements'!B38+'Financial Statements'!B39)-'Financial Statements'!B51</f>
        <v>-30985</v>
      </c>
      <c r="D12">
        <f>('Financial Statements'!C38+'Financial Statements'!C39)-'Financial Statements'!C51</f>
        <v>-21905</v>
      </c>
      <c r="E12">
        <f>('Financial Statements'!D38+'Financial Statements'!D39)-'Financial Statements'!D51</f>
        <v>-22115</v>
      </c>
      <c r="G12" t="s">
        <v>160</v>
      </c>
    </row>
    <row r="13" spans="1:10" x14ac:dyDescent="0.3">
      <c r="A13" s="18">
        <f t="shared" si="0"/>
        <v>1.9000000000000008</v>
      </c>
      <c r="B13" s="1" t="s">
        <v>108</v>
      </c>
      <c r="C13">
        <f>C14/'Financial Statements'!B8</f>
        <v>-4.711052727678481E-2</v>
      </c>
      <c r="D13">
        <f>D14/'Financial Statements'!C8</f>
        <v>2.557289573748623E-2</v>
      </c>
      <c r="E13">
        <f>E14/'Financial Statements'!D8</f>
        <v>0.13959528623208203</v>
      </c>
    </row>
    <row r="14" spans="1:10" x14ac:dyDescent="0.3">
      <c r="A14" s="18"/>
      <c r="B14" s="3" t="s">
        <v>109</v>
      </c>
      <c r="C14">
        <f>'Financial Statements'!B42-'Financial Statements'!B56</f>
        <v>-18577</v>
      </c>
      <c r="D14">
        <f>'Financial Statements'!C42-'Financial Statements'!C56</f>
        <v>9355</v>
      </c>
      <c r="E14">
        <f>'Financial Statements'!D42-'Financial Statements'!D56</f>
        <v>38321</v>
      </c>
    </row>
    <row r="15" spans="1:10" x14ac:dyDescent="0.3">
      <c r="A15" s="18"/>
    </row>
    <row r="16" spans="1:10" x14ac:dyDescent="0.3">
      <c r="A16" s="18">
        <f>+A4+1</f>
        <v>2</v>
      </c>
      <c r="B16" s="17" t="s">
        <v>110</v>
      </c>
    </row>
    <row r="17" spans="1:7" x14ac:dyDescent="0.3">
      <c r="A17" s="18">
        <f>+A16+0.1</f>
        <v>2.1</v>
      </c>
      <c r="B17" s="1" t="s">
        <v>9</v>
      </c>
      <c r="C17" s="26">
        <f>'Financial Statements'!B18/'Financial Statements'!B8</f>
        <v>0.30288744395528594</v>
      </c>
      <c r="D17" s="26">
        <f>'Financial Statements'!C18/'Financial Statements'!C8</f>
        <v>0.29782377527561593</v>
      </c>
      <c r="E17" s="26">
        <f>'Financial Statements'!D18/'Financial Statements'!D8</f>
        <v>0.24147314354406862</v>
      </c>
    </row>
    <row r="18" spans="1:7" x14ac:dyDescent="0.3">
      <c r="A18" s="18">
        <f>+A17+0.1</f>
        <v>2.2000000000000002</v>
      </c>
      <c r="B18" s="1" t="s">
        <v>111</v>
      </c>
      <c r="C18" s="26">
        <f>C19/'Financial Statements'!B8</f>
        <v>0.30204043334482966</v>
      </c>
      <c r="D18" s="26">
        <f>D19/'Financial Statements'!C8</f>
        <v>0.29852904594373691</v>
      </c>
      <c r="E18" s="26">
        <f>E19/'Financial Statements'!D8</f>
        <v>0.24439830246070343</v>
      </c>
    </row>
    <row r="19" spans="1:7" x14ac:dyDescent="0.3">
      <c r="A19" s="18"/>
      <c r="B19" s="3" t="s">
        <v>112</v>
      </c>
      <c r="C19" s="12">
        <f>'Financial Statements'!B20</f>
        <v>119103</v>
      </c>
      <c r="D19" s="12">
        <f>'Financial Statements'!C20</f>
        <v>109207</v>
      </c>
      <c r="E19" s="12">
        <f>'Financial Statements'!D20</f>
        <v>67091</v>
      </c>
      <c r="G19" t="s">
        <v>158</v>
      </c>
    </row>
    <row r="20" spans="1:7" x14ac:dyDescent="0.3">
      <c r="A20" s="18">
        <f>+A18+0.1</f>
        <v>2.3000000000000003</v>
      </c>
      <c r="B20" s="1" t="s">
        <v>113</v>
      </c>
      <c r="C20" s="26">
        <f>C21/'Financial Statements'!B8</f>
        <v>0.30204043334482966</v>
      </c>
      <c r="D20" s="26">
        <f>D21/'Financial Statements'!C8</f>
        <v>0.29852904594373691</v>
      </c>
      <c r="E20" s="26">
        <f>E21/'Financial Statements'!D8</f>
        <v>0.24439830246070343</v>
      </c>
    </row>
    <row r="21" spans="1:7" x14ac:dyDescent="0.3">
      <c r="A21" s="18"/>
      <c r="B21" s="3" t="s">
        <v>114</v>
      </c>
      <c r="C21" s="12">
        <f>'Financial Statements'!B20</f>
        <v>119103</v>
      </c>
      <c r="D21" s="12">
        <f>'Financial Statements'!C20</f>
        <v>109207</v>
      </c>
      <c r="E21" s="12">
        <f>'Financial Statements'!D20</f>
        <v>67091</v>
      </c>
      <c r="G21" t="s">
        <v>159</v>
      </c>
    </row>
    <row r="22" spans="1:7" x14ac:dyDescent="0.3">
      <c r="A22" s="18">
        <f>+A20+0.1</f>
        <v>2.4000000000000004</v>
      </c>
      <c r="B22" s="1" t="s">
        <v>115</v>
      </c>
      <c r="C22" s="26">
        <f>'Financial Statements'!B22/'Financial Statements'!B8</f>
        <v>0.25309640705199732</v>
      </c>
      <c r="D22" s="26">
        <f>'Financial Statements'!C22/'Financial Statements'!C8</f>
        <v>0.25881793355694238</v>
      </c>
      <c r="E22" s="26">
        <f>'Financial Statements'!D22/'Financial Statements'!D8</f>
        <v>0.20913611278072236</v>
      </c>
    </row>
    <row r="23" spans="1:7" x14ac:dyDescent="0.3">
      <c r="A23" s="18"/>
    </row>
    <row r="24" spans="1:7" x14ac:dyDescent="0.3">
      <c r="A24" s="18">
        <f>+A16+1</f>
        <v>3</v>
      </c>
      <c r="B24" s="7" t="s">
        <v>116</v>
      </c>
    </row>
    <row r="25" spans="1:7" x14ac:dyDescent="0.3">
      <c r="A25" s="18">
        <f>+A24+0.1</f>
        <v>3.1</v>
      </c>
      <c r="B25" s="1" t="s">
        <v>117</v>
      </c>
      <c r="C25" s="26">
        <f>('Financial Statements'!B54+'Financial Statements'!B55+'Financial Statements'!B59)/'Financial Statements'!B68</f>
        <v>2.3695334701610355</v>
      </c>
      <c r="D25" s="26">
        <f>('Financial Statements'!C54+'Financial Statements'!C55+'Financial Statements'!C59)/'Financial Statements'!C68</f>
        <v>1.9768426058012363</v>
      </c>
      <c r="E25" s="26">
        <f>('Financial Statements'!D54+'Financial Statements'!D55+'Financial Statements'!D59)/'Financial Statements'!D68</f>
        <v>1.7208099297509909</v>
      </c>
      <c r="G25" t="s">
        <v>162</v>
      </c>
    </row>
    <row r="26" spans="1:7" x14ac:dyDescent="0.3">
      <c r="A26" s="18">
        <f t="shared" ref="A26:A30" si="1">+A25+0.1</f>
        <v>3.2</v>
      </c>
      <c r="B26" s="1" t="s">
        <v>118</v>
      </c>
      <c r="C26" s="26">
        <f>('Financial Statements'!B54+'Financial Statements'!B55+'Financial Statements'!B59)/'Financial Statements'!B48</f>
        <v>0.34037504783773442</v>
      </c>
      <c r="D26" s="26">
        <f>('Financial Statements'!C54+'Financial Statements'!C55+'Financial Statements'!C59)/'Financial Statements'!C48</f>
        <v>0.35532276169366556</v>
      </c>
      <c r="E26" s="26">
        <f>('Financial Statements'!D54+'Financial Statements'!D55+'Financial Statements'!D59)/'Financial Statements'!D48</f>
        <v>0.34714469199229364</v>
      </c>
      <c r="G26" t="s">
        <v>161</v>
      </c>
    </row>
    <row r="27" spans="1:7" x14ac:dyDescent="0.3">
      <c r="A27" s="18">
        <f t="shared" si="1"/>
        <v>3.3000000000000003</v>
      </c>
      <c r="B27" s="1" t="s">
        <v>119</v>
      </c>
      <c r="C27" s="26">
        <f>'Financial Statements'!B59/('Financial Statements'!B54+'Financial Statements'!B55+'Financial Statements'!B59+'Financial Statements'!B68)</f>
        <v>0.57958545399171846</v>
      </c>
      <c r="D27" s="26">
        <f>'Financial Statements'!C59/('Financial Statements'!C54+'Financial Statements'!C55+'Financial Statements'!C59+'Financial Statements'!C68)</f>
        <v>0.58094127544473373</v>
      </c>
      <c r="E27" s="26">
        <f>'Financial Statements'!D59/('Financial Statements'!D54+'Financial Statements'!D55+'Financial Statements'!D59+'Financial Statements'!D68)</f>
        <v>0.55501054703979746</v>
      </c>
      <c r="G27" t="s">
        <v>163</v>
      </c>
    </row>
    <row r="28" spans="1:7" x14ac:dyDescent="0.3">
      <c r="A28" s="18">
        <f t="shared" si="1"/>
        <v>3.4000000000000004</v>
      </c>
      <c r="B28" s="1" t="s">
        <v>120</v>
      </c>
      <c r="C28" s="32">
        <f>C21/'Financial Statements'!B54</f>
        <v>11.931777198958125</v>
      </c>
      <c r="D28" s="32">
        <f>D21/'Financial Statements'!C54</f>
        <v>18.201166666666666</v>
      </c>
      <c r="E28" s="32">
        <f>E21/'Financial Statements'!D54</f>
        <v>13.428943154523619</v>
      </c>
      <c r="G28" t="s">
        <v>164</v>
      </c>
    </row>
    <row r="29" spans="1:7" x14ac:dyDescent="0.3">
      <c r="A29" s="18">
        <f t="shared" si="1"/>
        <v>3.5000000000000004</v>
      </c>
      <c r="B29" s="1" t="s">
        <v>121</v>
      </c>
      <c r="C29">
        <f>'Financial Statements'!B18/'Financial Statements'!B56</f>
        <v>0.7756555961086361</v>
      </c>
      <c r="D29">
        <f>'Financial Statements'!C18/'Financial Statements'!C56</f>
        <v>0.86825097026641485</v>
      </c>
      <c r="E29">
        <f>'Financial Statements'!D18/'Financial Statements'!D56</f>
        <v>0.6289661454379839</v>
      </c>
      <c r="G29" t="s">
        <v>165</v>
      </c>
    </row>
    <row r="30" spans="1:7" x14ac:dyDescent="0.3">
      <c r="A30" s="18">
        <f t="shared" si="1"/>
        <v>3.6000000000000005</v>
      </c>
      <c r="B30" s="1" t="s">
        <v>122</v>
      </c>
      <c r="C30">
        <f>C31/15800000000</f>
        <v>1.303259493670886E-5</v>
      </c>
      <c r="D30">
        <f t="shared" ref="D30:E30" si="2">D31/15800000000</f>
        <v>1.1717911392405064E-5</v>
      </c>
      <c r="E30">
        <f t="shared" si="2"/>
        <v>7.1729113924050632E-6</v>
      </c>
    </row>
    <row r="31" spans="1:7" x14ac:dyDescent="0.3">
      <c r="A31" s="18"/>
      <c r="B31" s="3" t="s">
        <v>123</v>
      </c>
      <c r="C31">
        <f>'Financial Statements'!B91-('Financial Statements'!B45-'Financial Statements'!C45)+('Financial Statements'!B55+'Financial Statements'!B59-('Financial Statements'!B36))</f>
        <v>205915</v>
      </c>
      <c r="D31">
        <f>'Financial Statements'!C91-('Financial Statements'!C45-'Financial Statements'!D45)+('Financial Statements'!C55+'Financial Statements'!C59-('Financial Statements'!C36))</f>
        <v>185143</v>
      </c>
      <c r="E31">
        <f>'Financial Statements'!D91-('Financial Statements'!D45-'Financial Statements'!E45)+('Financial Statements'!D55+'Financial Statements'!D59-('Financial Statements'!D36))</f>
        <v>113332</v>
      </c>
      <c r="G31" t="s">
        <v>167</v>
      </c>
    </row>
    <row r="32" spans="1:7" x14ac:dyDescent="0.3">
      <c r="A32" s="18"/>
    </row>
    <row r="33" spans="1:5" x14ac:dyDescent="0.3">
      <c r="A33" s="18">
        <f>+A24+1</f>
        <v>4</v>
      </c>
      <c r="B33" s="17" t="s">
        <v>124</v>
      </c>
    </row>
    <row r="34" spans="1:5" x14ac:dyDescent="0.3">
      <c r="A34" s="18">
        <f>+A33+0.1</f>
        <v>4.0999999999999996</v>
      </c>
      <c r="B34" s="1" t="s">
        <v>125</v>
      </c>
      <c r="C34" s="23">
        <f>'Financial Statements'!B8/'Financial Statements'!B48</f>
        <v>1.1178523337727317</v>
      </c>
      <c r="D34" s="23">
        <f>'Financial Statements'!C8/AVERAGE('Financial Statements'!B48:'Financial Statements'!C48)</f>
        <v>1.0396116841466585</v>
      </c>
      <c r="E34" s="23">
        <f>'Financial Statements'!D8/AVERAGE('Financial Statements'!C48:'Financial Statements'!D48)</f>
        <v>0.81351034983478787</v>
      </c>
    </row>
    <row r="35" spans="1:5" x14ac:dyDescent="0.3">
      <c r="A35" s="18">
        <f t="shared" ref="A35:A37" si="3">+A34+0.1</f>
        <v>4.1999999999999993</v>
      </c>
      <c r="B35" s="1" t="s">
        <v>126</v>
      </c>
      <c r="C35" s="23">
        <f>'Financial Statements'!B8/('Financial Statements'!B45)</f>
        <v>9.3626801529073767</v>
      </c>
      <c r="D35" s="23">
        <f>'Financial Statements'!C8/AVERAGE('Financial Statements'!B45:'Financial Statements'!C45)</f>
        <v>8.970830216903515</v>
      </c>
      <c r="E35" s="23">
        <f>'Financial Statements'!D8/AVERAGE('Financial Statements'!C45:'Financial Statements'!D45)</f>
        <v>7.2045508227698605</v>
      </c>
    </row>
    <row r="36" spans="1:5" x14ac:dyDescent="0.3">
      <c r="A36" s="18">
        <f t="shared" si="3"/>
        <v>4.2999999999999989</v>
      </c>
      <c r="B36" s="1" t="s">
        <v>127</v>
      </c>
      <c r="C36" s="23">
        <f>'Financial Statements'!B12/'Financial Statements'!B39</f>
        <v>45.197331176708452</v>
      </c>
      <c r="D36" s="23">
        <f>'Financial Statements'!C12/AVERAGE('Financial Statements'!B39:'Financial Statements'!C39)</f>
        <v>36.95661981606802</v>
      </c>
      <c r="E36" s="23">
        <f>'Financial Statements'!D12/AVERAGE('Financial Statements'!C39:'Financial Statements'!D39)</f>
        <v>31.868997274692227</v>
      </c>
    </row>
    <row r="37" spans="1:5" x14ac:dyDescent="0.3">
      <c r="A37" s="18">
        <f t="shared" si="3"/>
        <v>4.3999999999999986</v>
      </c>
      <c r="B37" s="1" t="s">
        <v>128</v>
      </c>
      <c r="C37" s="26">
        <f>'Financial Statements'!B22/'Financial Statements'!B48</f>
        <v>0.28292440929256851</v>
      </c>
      <c r="D37" s="26">
        <f>'Financial Statements'!C22/AVERAGE('Financial Statements'!B48:'Financial Statements'!C48)</f>
        <v>0.26907014779249089</v>
      </c>
      <c r="E37" s="26">
        <f>'Financial Statements'!D22/AVERAGE('Financial Statements'!C48:'Financial Statements'!D48)</f>
        <v>0.17013439227133312</v>
      </c>
    </row>
    <row r="38" spans="1:5" x14ac:dyDescent="0.3">
      <c r="A38" s="18"/>
    </row>
    <row r="39" spans="1:5" x14ac:dyDescent="0.3">
      <c r="A39" s="18">
        <f>+A33+1</f>
        <v>5</v>
      </c>
      <c r="B39" s="17" t="s">
        <v>129</v>
      </c>
    </row>
    <row r="40" spans="1:5" x14ac:dyDescent="0.3">
      <c r="A40" s="18">
        <f>+A39+0.1</f>
        <v>5.0999999999999996</v>
      </c>
      <c r="B40" s="1" t="s">
        <v>130</v>
      </c>
      <c r="C40" s="32">
        <f>'Financial Statements'!B30/'Financial Statements'!B25</f>
        <v>22.618657937806869</v>
      </c>
      <c r="D40" s="32">
        <f>'Financial Statements'!C30/'Financial Statements'!C25</f>
        <v>25.222816399286987</v>
      </c>
      <c r="E40" s="32">
        <f>'Financial Statements'!D30/'Financial Statements'!D25</f>
        <v>35.307926829268297</v>
      </c>
    </row>
    <row r="41" spans="1:5" x14ac:dyDescent="0.3">
      <c r="A41" s="18">
        <f t="shared" ref="A41:A44" si="4">+A40+0.1</f>
        <v>5.1999999999999993</v>
      </c>
      <c r="B41" s="3" t="s">
        <v>131</v>
      </c>
      <c r="C41">
        <f>'Financial Statements'!B25</f>
        <v>6.11</v>
      </c>
      <c r="D41">
        <f>'Financial Statements'!C25</f>
        <v>5.61</v>
      </c>
      <c r="E41">
        <f>'Financial Statements'!D25</f>
        <v>3.28</v>
      </c>
    </row>
    <row r="42" spans="1:5" x14ac:dyDescent="0.3">
      <c r="A42" s="18">
        <f t="shared" si="4"/>
        <v>5.2999999999999989</v>
      </c>
      <c r="B42" s="1" t="s">
        <v>132</v>
      </c>
      <c r="C42" s="32">
        <f>'Financial Statements'!B30/('Financial Statements'!B68/('Financial Statements'!B28/1000))</f>
        <v>44.526132495263646</v>
      </c>
      <c r="D42" s="32">
        <f>'Financial Statements'!C30/('Financial Statements'!C68/('Financial Statements'!C28/1000))</f>
        <v>37.82510760025361</v>
      </c>
      <c r="E42" s="32">
        <f>'Financial Statements'!D30/('Financial Statements'!D68/('Financial Statements'!D28/1000))</f>
        <v>31.067853247524447</v>
      </c>
    </row>
    <row r="43" spans="1:5" x14ac:dyDescent="0.3">
      <c r="A43" s="18">
        <f t="shared" si="4"/>
        <v>5.3999999999999986</v>
      </c>
      <c r="B43" s="3" t="s">
        <v>133</v>
      </c>
      <c r="C43" s="32">
        <f>'Financial Statements'!B68/('Financial Statements'!B28/1000)</f>
        <v>3.1037952827971451</v>
      </c>
      <c r="D43" s="32">
        <f>'Financial Statements'!C68/('Financial Statements'!C28/1000)</f>
        <v>3.740901453484597</v>
      </c>
      <c r="E43" s="32">
        <f>'Financial Statements'!D68/('Financial Statements'!D28/1000)</f>
        <v>3.7276473233382479</v>
      </c>
    </row>
    <row r="44" spans="1:5" x14ac:dyDescent="0.3">
      <c r="A44" s="18">
        <f t="shared" si="4"/>
        <v>5.4999999999999982</v>
      </c>
      <c r="B44" s="1" t="s">
        <v>134</v>
      </c>
      <c r="C44" s="23">
        <f>-'Financial Statements'!B102/'Financial Statements'!B22</f>
        <v>0.14870294480125848</v>
      </c>
      <c r="D44" s="23">
        <f>-'Financial Statements'!C102/'Financial Statements'!C22</f>
        <v>0.15279890156316012</v>
      </c>
      <c r="E44" s="23">
        <f>-'Financial Statements'!D102/'Financial Statements'!D22</f>
        <v>0.24526658654264863</v>
      </c>
    </row>
    <row r="45" spans="1:5" x14ac:dyDescent="0.3">
      <c r="A45" s="18"/>
      <c r="B45" s="3" t="s">
        <v>135</v>
      </c>
      <c r="C45" s="23">
        <f>-'Financial Statements'!B102/('Financial Statements'!B28/1000)</f>
        <v>0.90905087211857494</v>
      </c>
      <c r="D45" s="23">
        <f>-'Financial Statements'!C102/('Financial Statements'!C28/1000)</f>
        <v>0.85781615672153533</v>
      </c>
      <c r="E45" s="23">
        <f>-'Financial Statements'!D102/('Financial Statements'!D28/1000)</f>
        <v>0.80333341434558025</v>
      </c>
    </row>
    <row r="46" spans="1:5" x14ac:dyDescent="0.3">
      <c r="A46" s="18">
        <f>+A44+0.1</f>
        <v>5.5999999999999979</v>
      </c>
      <c r="B46" s="1" t="s">
        <v>136</v>
      </c>
      <c r="C46" s="26">
        <f>(-'Financial Statements'!B102/('Financial Statements'!B28/1000))/'Financial Statements'!B30</f>
        <v>6.5777921282096597E-3</v>
      </c>
      <c r="D46" s="26">
        <f>(-'Financial Statements'!C102/('Financial Statements'!C28/1000))/'Financial Statements'!C30</f>
        <v>6.0623049944984828E-3</v>
      </c>
      <c r="E46" s="26">
        <f>(-'Financial Statements'!D102/('Financial Statements'!D28/1000))/'Financial Statements'!D30</f>
        <v>6.9366498087002869E-3</v>
      </c>
    </row>
    <row r="47" spans="1:5" x14ac:dyDescent="0.3">
      <c r="A47" s="18">
        <f t="shared" ref="A47:A50" si="5">+A45+0.1</f>
        <v>0.1</v>
      </c>
      <c r="B47" s="1" t="s">
        <v>137</v>
      </c>
      <c r="C47" s="26">
        <f>'Financial Statements'!B22/'Financial Statements'!B68</f>
        <v>1.9695887275023682</v>
      </c>
      <c r="D47" s="26">
        <f>'Financial Statements'!C22/AVERAGE('Financial Statements'!B68:'Financial Statements'!C68)</f>
        <v>1.6645276981768957</v>
      </c>
      <c r="E47" s="26">
        <f>'Financial Statements'!D22/AVERAGE('Financial Statements'!C68:'Financial Statements'!D68)</f>
        <v>0.89405040917549772</v>
      </c>
    </row>
    <row r="48" spans="1:5" x14ac:dyDescent="0.3">
      <c r="A48" s="18">
        <f t="shared" si="5"/>
        <v>5.6999999999999975</v>
      </c>
      <c r="B48" s="1" t="s">
        <v>138</v>
      </c>
      <c r="C48" s="26">
        <f>'Financial Statements'!B20/('Financial Statements'!B55+'Financial Statements'!B54+'Financial Statements'!B59+'Financial Statements'!B68)</f>
        <v>0.69756531823053636</v>
      </c>
      <c r="D48" s="26">
        <f>'Financial Statements'!C20/('Financial Statements'!C55+'Financial Statements'!C54+'Financial Statements'!C59+'Financial Statements'!C68)</f>
        <v>0.58147905584929371</v>
      </c>
      <c r="E48" s="26">
        <f>'Financial Statements'!D20/('Financial Statements'!D55+'Financial Statements'!D54+'Financial Statements'!D59+'Financial Statements'!D68)</f>
        <v>0.37739277176205877</v>
      </c>
    </row>
    <row r="49" spans="1:7" x14ac:dyDescent="0.3">
      <c r="A49" s="18">
        <f t="shared" si="5"/>
        <v>0.2</v>
      </c>
      <c r="B49" s="1" t="s">
        <v>128</v>
      </c>
      <c r="C49" s="27">
        <f>C37</f>
        <v>0.28292440929256851</v>
      </c>
      <c r="D49" s="27">
        <f t="shared" ref="D49:E49" si="6">D37</f>
        <v>0.26907014779249089</v>
      </c>
      <c r="E49" s="27">
        <f t="shared" si="6"/>
        <v>0.17013439227133312</v>
      </c>
    </row>
    <row r="50" spans="1:7" x14ac:dyDescent="0.3">
      <c r="A50" s="18">
        <f t="shared" si="5"/>
        <v>5.7999999999999972</v>
      </c>
      <c r="B50" s="1" t="s">
        <v>139</v>
      </c>
      <c r="C50" s="32">
        <f>C51/'Financial Statements'!B20</f>
        <v>19.753080827519039</v>
      </c>
      <c r="D50" s="32">
        <f>D51/'Financial Statements'!C20</f>
        <v>22.674050550788866</v>
      </c>
      <c r="E50" s="32">
        <f>E51/'Financial Statements'!D20</f>
        <v>31.365793673369009</v>
      </c>
    </row>
    <row r="51" spans="1:7" x14ac:dyDescent="0.3">
      <c r="A51" s="18"/>
      <c r="B51" s="3" t="s">
        <v>140</v>
      </c>
      <c r="C51" s="33">
        <f>(('Financial Statements'!B28*1000)*'Financial Statements'!B30/1000000)+'Financial Statements'!B54+'Financial Statements'!B55+'Financial Statements'!B59-'Financial Statements'!B36</f>
        <v>2352651.1858000001</v>
      </c>
      <c r="D51" s="33">
        <f>(('Financial Statements'!C28*1000)*'Financial Statements'!C30/1000000)+'Financial Statements'!C54+'Financial Statements'!C55+'Financial Statements'!C59-'Financial Statements'!C36</f>
        <v>2476165.0384999998</v>
      </c>
      <c r="E51" s="33">
        <f>(('Financial Statements'!D28*1000)*'Financial Statements'!D30/1000000)+'Financial Statements'!D54+'Financial Statements'!D55+'Financial Statements'!D59-'Financial Statements'!D36</f>
        <v>2104362.4633400002</v>
      </c>
      <c r="G51" t="s">
        <v>166</v>
      </c>
    </row>
    <row r="56" spans="1:7" x14ac:dyDescent="0.3">
      <c r="B56" s="34" t="s">
        <v>151</v>
      </c>
      <c r="C56" s="7">
        <v>2022</v>
      </c>
      <c r="D56" s="7">
        <v>2021</v>
      </c>
      <c r="E56" s="7">
        <v>2020</v>
      </c>
    </row>
    <row r="57" spans="1:7" x14ac:dyDescent="0.3">
      <c r="B57" s="11" t="s">
        <v>145</v>
      </c>
    </row>
    <row r="58" spans="1:7" x14ac:dyDescent="0.3">
      <c r="B58" t="s">
        <v>4</v>
      </c>
      <c r="C58" s="26">
        <f>'Financial Statements'!B6/'Financial Statements'!C6-1</f>
        <v>6.3239764351428418E-2</v>
      </c>
      <c r="D58" s="26">
        <f>'Financial Statements'!C6/'Financial Statements'!D6-1</f>
        <v>0.34720743656765429</v>
      </c>
      <c r="E58" s="26"/>
    </row>
    <row r="59" spans="1:7" x14ac:dyDescent="0.3">
      <c r="B59" t="s">
        <v>5</v>
      </c>
      <c r="C59" s="26">
        <f>'Financial Statements'!B7/'Financial Statements'!C7-1</f>
        <v>0.14181951041286078</v>
      </c>
      <c r="D59" s="26">
        <f>'Financial Statements'!C7/'Financial Statements'!D7-1</f>
        <v>0.27259708376729663</v>
      </c>
      <c r="E59" s="26"/>
    </row>
    <row r="60" spans="1:7" x14ac:dyDescent="0.3">
      <c r="B60" t="s">
        <v>6</v>
      </c>
      <c r="C60" s="26">
        <f>'Financial Statements'!B8/'Financial Statements'!C8-1</f>
        <v>7.7937876041846099E-2</v>
      </c>
      <c r="D60" s="26">
        <f>'Financial Statements'!C8/'Financial Statements'!D8-1</f>
        <v>0.33259384733074704</v>
      </c>
      <c r="E60" s="26"/>
    </row>
    <row r="61" spans="1:7" x14ac:dyDescent="0.3">
      <c r="B61" s="11" t="s">
        <v>89</v>
      </c>
    </row>
    <row r="62" spans="1:7" x14ac:dyDescent="0.3">
      <c r="B62" t="s">
        <v>14</v>
      </c>
      <c r="C62" s="26">
        <f>'Financial Statements'!B18/'Financial Statements'!C18-1</f>
        <v>9.6265225013538513E-2</v>
      </c>
      <c r="D62" s="26">
        <f>'Financial Statements'!C18/'Financial Statements'!D18-1</f>
        <v>0.64357048032826447</v>
      </c>
      <c r="E62" s="26"/>
    </row>
    <row r="63" spans="1:7" x14ac:dyDescent="0.3">
      <c r="B63" t="s">
        <v>152</v>
      </c>
      <c r="C63" s="26">
        <f>'Financial Statements'!B20/'Financial Statements'!C20-1</f>
        <v>9.0616901846951148E-2</v>
      </c>
      <c r="D63" s="26">
        <f>'Financial Statements'!C20/'Financial Statements'!D20-1</f>
        <v>0.62774440685039723</v>
      </c>
      <c r="E63" s="26"/>
    </row>
    <row r="64" spans="1:7" x14ac:dyDescent="0.3">
      <c r="B64" s="11" t="s">
        <v>90</v>
      </c>
    </row>
    <row r="65" spans="2:5" x14ac:dyDescent="0.3">
      <c r="B65" t="s">
        <v>11</v>
      </c>
      <c r="C65" s="26">
        <f>'Financial Statements'!B15/'Financial Statements'!C15-1</f>
        <v>0.19791001186456136</v>
      </c>
      <c r="D65" s="26">
        <f>'Financial Statements'!C15/'Financial Statements'!D15-1</f>
        <v>0.16862201365187723</v>
      </c>
      <c r="E65" s="26"/>
    </row>
    <row r="66" spans="2:5" x14ac:dyDescent="0.3">
      <c r="B66" t="s">
        <v>12</v>
      </c>
      <c r="C66" s="26">
        <f>'Financial Statements'!B16/'Financial Statements'!C16-1</f>
        <v>0.14203795567287125</v>
      </c>
      <c r="D66" s="26">
        <f>'Financial Statements'!C16/'Financial Statements'!D16-1</f>
        <v>0.10328379192608961</v>
      </c>
      <c r="E66" s="26"/>
    </row>
    <row r="67" spans="2:5" x14ac:dyDescent="0.3">
      <c r="B67" s="11" t="s">
        <v>91</v>
      </c>
    </row>
    <row r="68" spans="2:5" x14ac:dyDescent="0.3">
      <c r="B68" t="s">
        <v>33</v>
      </c>
      <c r="C68" s="26">
        <f>'Financial Statements'!B48/'Financial Statements'!C48-1</f>
        <v>4.994273536902849E-3</v>
      </c>
      <c r="D68" s="26">
        <f>'Financial Statements'!C48/'Financial Statements'!D48-1</f>
        <v>8.3714123400681739E-2</v>
      </c>
      <c r="E68" s="26"/>
    </row>
    <row r="69" spans="2:5" x14ac:dyDescent="0.3">
      <c r="B69" t="s">
        <v>41</v>
      </c>
      <c r="C69" s="26">
        <f>'Financial Statements'!B62/'Financial Statements'!C62-1</f>
        <v>4.9219900525160565E-2</v>
      </c>
      <c r="D69" s="26">
        <f>'Financial Statements'!C62/'Financial Statements'!D62-1</f>
        <v>0.11356841449783217</v>
      </c>
      <c r="E69" s="26"/>
    </row>
    <row r="70" spans="2:5" x14ac:dyDescent="0.3">
      <c r="B70" t="s">
        <v>45</v>
      </c>
      <c r="C70" s="26">
        <f>'Financial Statements'!B68/'Financial Statements'!C68-1</f>
        <v>-0.19682992550324929</v>
      </c>
      <c r="D70" s="26">
        <f>'Financial Statements'!C68/'Financial Statements'!D68-1</f>
        <v>-3.4420483937617652E-2</v>
      </c>
      <c r="E70" s="26"/>
    </row>
    <row r="73" spans="2:5" x14ac:dyDescent="0.3">
      <c r="B73" s="34" t="s">
        <v>153</v>
      </c>
    </row>
    <row r="74" spans="2:5" x14ac:dyDescent="0.3">
      <c r="B74" t="s">
        <v>146</v>
      </c>
      <c r="C74" s="26">
        <f>'Financial Statements'!B12/'Financial Statements'!B8</f>
        <v>0.56690369438639909</v>
      </c>
      <c r="D74" s="26">
        <f>'Financial Statements'!C12/'Financial Statements'!C8</f>
        <v>0.58220640374832222</v>
      </c>
      <c r="E74" s="26">
        <f>'Financial Statements'!D12/'Financial Statements'!D8</f>
        <v>0.61766752272189129</v>
      </c>
    </row>
    <row r="75" spans="2:5" x14ac:dyDescent="0.3">
      <c r="B75" t="s">
        <v>89</v>
      </c>
      <c r="C75" s="26">
        <f>'Financial Statements'!B13/'Financial Statements'!B8</f>
        <v>0.43309630561360085</v>
      </c>
      <c r="D75" s="26">
        <f>'Financial Statements'!C13/'Financial Statements'!C8</f>
        <v>0.41779359625167778</v>
      </c>
      <c r="E75" s="26">
        <f>'Financial Statements'!D13/'Financial Statements'!D8</f>
        <v>0.38233247727810865</v>
      </c>
    </row>
    <row r="76" spans="2:5" x14ac:dyDescent="0.3">
      <c r="B76" t="s">
        <v>90</v>
      </c>
      <c r="C76" s="26">
        <f>'Financial Statements'!B17/'Financial Statements'!B8</f>
        <v>0.13020886165831491</v>
      </c>
      <c r="D76" s="26">
        <f>'Financial Statements'!C17/'Financial Statements'!C8</f>
        <v>0.11996982097606181</v>
      </c>
      <c r="E76" s="26">
        <f>'Financial Statements'!D17/'Financial Statements'!D8</f>
        <v>0.14085933373404003</v>
      </c>
    </row>
    <row r="77" spans="2:5" x14ac:dyDescent="0.3">
      <c r="B77" t="s">
        <v>14</v>
      </c>
      <c r="C77" s="26">
        <f>'Financial Statements'!B18/'Financial Statements'!B8</f>
        <v>0.30288744395528594</v>
      </c>
      <c r="D77" s="26">
        <f>'Financial Statements'!C18/'Financial Statements'!C8</f>
        <v>0.29782377527561593</v>
      </c>
      <c r="E77" s="26">
        <f>'Financial Statements'!D18/'Financial Statements'!D8</f>
        <v>0.24147314354406862</v>
      </c>
    </row>
    <row r="78" spans="2:5" x14ac:dyDescent="0.3">
      <c r="B78" t="s">
        <v>93</v>
      </c>
      <c r="C78" s="26">
        <f>'Financial Statements'!B22/'Financial Statements'!B8</f>
        <v>0.25309640705199732</v>
      </c>
      <c r="D78" s="26">
        <f>'Financial Statements'!C22/'Financial Statements'!C8</f>
        <v>0.25881793355694238</v>
      </c>
      <c r="E78" s="26">
        <f>'Financial Statements'!D22/'Financial Statements'!D8</f>
        <v>0.20913611278072236</v>
      </c>
    </row>
    <row r="81" spans="2:5" x14ac:dyDescent="0.3">
      <c r="B81" s="34" t="s">
        <v>154</v>
      </c>
    </row>
    <row r="82" spans="2:5" x14ac:dyDescent="0.3">
      <c r="B82" t="s">
        <v>94</v>
      </c>
    </row>
    <row r="83" spans="2:5" x14ac:dyDescent="0.3">
      <c r="B83" t="s">
        <v>95</v>
      </c>
      <c r="C83" s="26">
        <f>-'Financial Statements'!B96/'Financial Statements'!B8</f>
        <v>2.7155058732831552E-2</v>
      </c>
      <c r="D83" s="26">
        <f>-'Financial Statements'!C96/'Financial Statements'!C8</f>
        <v>3.0302036264033657E-2</v>
      </c>
      <c r="E83" s="26">
        <f>-'Financial Statements'!D96/'Financial Statements'!D8</f>
        <v>2.6625138881299748E-2</v>
      </c>
    </row>
    <row r="84" spans="2:5" x14ac:dyDescent="0.3">
      <c r="B84" t="s">
        <v>96</v>
      </c>
      <c r="C84" s="26">
        <f>-'Financial Statements'!B96/'Financial Statements'!B45</f>
        <v>0.25424412944891611</v>
      </c>
      <c r="D84" s="26">
        <f>-'Financial Statements'!C96/'Financial Statements'!C45</f>
        <v>0.28105983772819471</v>
      </c>
      <c r="E84" s="26">
        <f>-'Financial Statements'!D96/'Financial Statements'!D45</f>
        <v>0.19879780231735844</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2020-05-18T16:32:37Z</dcterms:created>
  <dcterms:modified xsi:type="dcterms:W3CDTF">2023-06-05T12:30:58Z</dcterms:modified>
</cp:coreProperties>
</file>