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ownloads\"/>
    </mc:Choice>
  </mc:AlternateContent>
  <bookViews>
    <workbookView xWindow="0" yWindow="0" windowWidth="2310" windowHeight="885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C48" i="3"/>
  <c r="D43" i="3"/>
  <c r="C43" i="3"/>
  <c r="D30" i="3"/>
  <c r="C30" i="3"/>
  <c r="D31" i="3"/>
  <c r="C31" i="3"/>
  <c r="D19" i="3"/>
  <c r="C19" i="3"/>
  <c r="D17" i="3"/>
  <c r="C17" i="3"/>
  <c r="C104" i="1" l="1"/>
  <c r="B104" i="1"/>
  <c r="C95" i="1"/>
  <c r="B95" i="1"/>
  <c r="C57" i="1"/>
  <c r="B57" i="1"/>
  <c r="C24" i="1" l="1"/>
  <c r="B24" i="1"/>
  <c r="C20" i="1"/>
  <c r="B20" i="1"/>
  <c r="C15" i="1"/>
  <c r="B15" i="1"/>
  <c r="D40" i="3" l="1"/>
  <c r="C40" i="3"/>
  <c r="D41" i="3"/>
  <c r="C41" i="3"/>
  <c r="C67" i="1" l="1"/>
  <c r="B67" i="1"/>
  <c r="C52" i="1"/>
  <c r="D6" i="3" s="1"/>
  <c r="B52" i="1"/>
  <c r="C6" i="3" s="1"/>
  <c r="C41" i="1"/>
  <c r="C46" i="1" s="1"/>
  <c r="B41" i="1"/>
  <c r="B46" i="1" s="1"/>
  <c r="C7" i="1"/>
  <c r="D11" i="3" s="1"/>
  <c r="B7" i="1"/>
  <c r="C11" i="3" s="1"/>
  <c r="D3" i="3"/>
  <c r="C3" i="3"/>
  <c r="C34" i="1"/>
  <c r="C72" i="1" s="1"/>
  <c r="B34" i="1"/>
  <c r="B72" i="1" s="1"/>
  <c r="C8" i="3" l="1"/>
  <c r="C25" i="3"/>
  <c r="C27" i="3"/>
  <c r="D8" i="3"/>
  <c r="D27" i="3"/>
  <c r="D25" i="3"/>
  <c r="C5" i="3"/>
  <c r="C14" i="3"/>
  <c r="C13" i="3" s="1"/>
  <c r="C42" i="3"/>
  <c r="D14" i="3"/>
  <c r="D13" i="3" s="1"/>
  <c r="D42" i="3"/>
  <c r="D10" i="3"/>
  <c r="D9" i="3"/>
  <c r="D36" i="3"/>
  <c r="C35" i="3"/>
  <c r="C58" i="1"/>
  <c r="C68" i="1" s="1"/>
  <c r="D7" i="3"/>
  <c r="D35" i="3"/>
  <c r="C10" i="3"/>
  <c r="C36" i="3"/>
  <c r="C9" i="3"/>
  <c r="B58" i="1"/>
  <c r="C7" i="3"/>
  <c r="D5" i="3"/>
  <c r="C26" i="3"/>
  <c r="D26" i="3"/>
  <c r="A44" i="3"/>
  <c r="A46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2" i="3" l="1"/>
  <c r="D12" i="3"/>
  <c r="B68" i="1"/>
  <c r="C34" i="3"/>
  <c r="D34" i="3"/>
  <c r="A24" i="3"/>
  <c r="A25" i="3" s="1"/>
  <c r="A26" i="3" s="1"/>
  <c r="A27" i="3" s="1"/>
  <c r="A28" i="3" s="1"/>
  <c r="A29" i="3" s="1"/>
  <c r="A30" i="3" s="1"/>
  <c r="D29" i="3" l="1"/>
  <c r="D18" i="3"/>
  <c r="D21" i="3"/>
  <c r="C29" i="3"/>
  <c r="C21" i="3"/>
  <c r="A33" i="3"/>
  <c r="A34" i="3" s="1"/>
  <c r="A35" i="3" s="1"/>
  <c r="A36" i="3" s="1"/>
  <c r="A37" i="3" s="1"/>
  <c r="D28" i="3" l="1"/>
  <c r="D45" i="3"/>
  <c r="C28" i="3"/>
  <c r="C45" i="3"/>
  <c r="D47" i="3"/>
  <c r="D20" i="3"/>
  <c r="C20" i="3"/>
  <c r="A39" i="3"/>
  <c r="A40" i="3" s="1"/>
  <c r="A41" i="3" s="1"/>
  <c r="A42" i="3" s="1"/>
  <c r="A43" i="3" s="1"/>
  <c r="A45" i="3" s="1"/>
  <c r="A47" i="3" s="1"/>
  <c r="C47" i="3"/>
  <c r="C18" i="3"/>
  <c r="B88" i="1"/>
  <c r="C22" i="3"/>
  <c r="C44" i="3"/>
  <c r="C37" i="3"/>
  <c r="C46" i="3" s="1"/>
  <c r="C88" i="1"/>
  <c r="D22" i="3"/>
  <c r="D44" i="3"/>
  <c r="D37" i="3"/>
  <c r="D46" i="3" s="1"/>
</calcChain>
</file>

<file path=xl/sharedStrings.xml><?xml version="1.0" encoding="utf-8"?>
<sst xmlns="http://schemas.openxmlformats.org/spreadsheetml/2006/main" count="166" uniqueCount="156">
  <si>
    <t>CONSOLIDATED STATEMENTS OF OPERATIONS</t>
  </si>
  <si>
    <t>(In millions, except number of shares which are reflected in thousands and per share amounts)</t>
  </si>
  <si>
    <t>Total net sales</t>
  </si>
  <si>
    <t>Gross margin</t>
  </si>
  <si>
    <t>Operating expenses:</t>
  </si>
  <si>
    <t>Total operating expenses</t>
  </si>
  <si>
    <t>Operating income</t>
  </si>
  <si>
    <t>Basic</t>
  </si>
  <si>
    <t>Diluted</t>
  </si>
  <si>
    <t>Years ended September,</t>
  </si>
  <si>
    <t>CONSOLIDATED BALANCE SHEETS</t>
  </si>
  <si>
    <t>Current assets:</t>
  </si>
  <si>
    <t>Cash and cash equivalents</t>
  </si>
  <si>
    <t>Marketable securities</t>
  </si>
  <si>
    <t>Inventories</t>
  </si>
  <si>
    <t>Total current assets</t>
  </si>
  <si>
    <t>Total assets</t>
  </si>
  <si>
    <t>Current liabilities:</t>
  </si>
  <si>
    <t>Accounts payable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</si>
  <si>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</si>
  <si>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</si>
  <si>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</si>
  <si>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</si>
  <si>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</si>
  <si>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</si>
  <si>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</si>
  <si>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Non current liabilities:</t>
  </si>
  <si>
    <t>Total non current liabilities</t>
  </si>
  <si>
    <t>CONSOLIDATED STATEMENTS OF CASH FLOWS</t>
  </si>
  <si>
    <t>Operating activities:</t>
  </si>
  <si>
    <t>Deferred income tax expense/(benefit)</t>
  </si>
  <si>
    <t>Changes in operating assets and liabilities:</t>
  </si>
  <si>
    <t>Investing activities:</t>
  </si>
  <si>
    <t>Purchases of marketable securities</t>
  </si>
  <si>
    <t>Cash generated by/(used in) investing activities</t>
  </si>
  <si>
    <t>Financing activities:</t>
  </si>
  <si>
    <t>Supplemental cash flow disclosure:</t>
  </si>
  <si>
    <t>Cash paid for income taxes, net</t>
  </si>
  <si>
    <t>Cash paid for interest</t>
  </si>
  <si>
    <t>Instructions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</si>
  <si>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</si>
  <si>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</si>
  <si>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</si>
  <si>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</si>
  <si>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</si>
  <si>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</si>
  <si>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</si>
  <si>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</si>
  <si>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</si>
  <si>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</si>
  <si>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</si>
  <si>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</si>
  <si>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</si>
  <si>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</si>
  <si>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</si>
  <si>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</si>
  <si>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</si>
  <si>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</si>
  <si>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</si>
  <si>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</si>
  <si>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</si>
  <si>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</si>
  <si>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</si>
  <si>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</si>
  <si>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</si>
  <si>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</si>
  <si>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</si>
  <si>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</si>
  <si>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</si>
  <si>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</si>
  <si>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</si>
  <si>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</si>
  <si>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</si>
  <si>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</si>
  <si>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</si>
  <si>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Return on equity (ROE)</t>
  </si>
  <si>
    <t>Return on capital employed (ROCE)</t>
  </si>
  <si>
    <t>Enterprise value to EBITDA (EV/EBITDA)</t>
  </si>
  <si>
    <t>Enterprise value (EV)</t>
  </si>
  <si>
    <t>As at September,</t>
  </si>
  <si>
    <t>Price</t>
  </si>
  <si>
    <t>Net product sales</t>
  </si>
  <si>
    <t>Net service sales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</si>
  <si>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</si>
  <si>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</si>
  <si>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</si>
  <si>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</si>
  <si>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</si>
  <si>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</si>
  <si>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</si>
  <si>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</si>
  <si>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Other income (expense), net</t>
  </si>
  <si>
    <t xml:space="preserve">        Total non-operating income (expense)</t>
  </si>
  <si>
    <t>Income (loss) before income taxes</t>
  </si>
  <si>
    <t>Benefit (provision) for income taxes</t>
  </si>
  <si>
    <t>Equity-method investment activity, net of tax</t>
  </si>
  <si>
    <t xml:space="preserve"> </t>
  </si>
  <si>
    <t>Net income (loss)</t>
  </si>
  <si>
    <t>Basic earnings per share</t>
  </si>
  <si>
    <t>Diluted earnings per share</t>
  </si>
  <si>
    <t>Weighted average shares used in computing earnings per share:</t>
  </si>
  <si>
    <t>Accounts receivable, net and other</t>
  </si>
  <si>
    <t>Property and equipment, net</t>
  </si>
  <si>
    <t>Operating leases</t>
  </si>
  <si>
    <t>Goodwill</t>
  </si>
  <si>
    <t>Other assets</t>
  </si>
  <si>
    <t>Accrued expenses and others</t>
  </si>
  <si>
    <t>Unearned revenue</t>
  </si>
  <si>
    <t>Long-term lease liabilities</t>
  </si>
  <si>
    <t>Long-term debt</t>
  </si>
  <si>
    <t>Other long-term liabilities</t>
  </si>
  <si>
    <t>Commitment and contingencies:</t>
  </si>
  <si>
    <r>
      <t>Preferred stock (</t>
    </r>
    <r>
      <rPr>
        <sz val="11"/>
        <color theme="1"/>
        <rFont val="Calibri"/>
        <family val="2"/>
      </rPr>
      <t>$</t>
    </r>
    <r>
      <rPr>
        <sz val="11"/>
        <color theme="1"/>
        <rFont val="Calibri"/>
        <family val="2"/>
        <scheme val="minor"/>
      </rPr>
      <t>0.01 par value; 500 shares authorized; no shares issued or outstanding)</t>
    </r>
  </si>
  <si>
    <r>
      <t>Common stock (</t>
    </r>
    <r>
      <rPr>
        <sz val="11"/>
        <color theme="1"/>
        <rFont val="Calibri"/>
        <family val="2"/>
      </rPr>
      <t>$</t>
    </r>
    <r>
      <rPr>
        <sz val="11"/>
        <color theme="1"/>
        <rFont val="Calibri"/>
        <family val="2"/>
        <scheme val="minor"/>
      </rPr>
      <t>0.01 par value; 100,000 shares authorized; 10,644 and 10,757 shares issued; 10,175 and 10,242 shares outstanding)</t>
    </r>
  </si>
  <si>
    <t>Treasury stock at cost</t>
  </si>
  <si>
    <t>Additional paid-in capital</t>
  </si>
  <si>
    <t>Cash, cash equivalents and restricted cash, beginning of period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</si>
  <si>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</si>
  <si>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</si>
  <si>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 expense</t>
  </si>
  <si>
    <t>Other expense (income), net</t>
  </si>
  <si>
    <t>Net cash provided by (used in) operating activities</t>
  </si>
  <si>
    <t>Sales and maturities of marketable securities</t>
  </si>
  <si>
    <t>Proceeds from property and equipment sales and incentives</t>
  </si>
  <si>
    <t>Acquisitions, net of cash acquired, and others</t>
  </si>
  <si>
    <t>Purchases of properties and equipments</t>
  </si>
  <si>
    <t xml:space="preserve"> common stock repurchased</t>
  </si>
  <si>
    <t>Proceeds from short-term debts and others</t>
  </si>
  <si>
    <t>Repayments of short-term debt and other</t>
  </si>
  <si>
    <t>Proceeds from long-term debt</t>
  </si>
  <si>
    <t>Repayments of long-term debt</t>
  </si>
  <si>
    <t>Principal repayment of finance leases</t>
  </si>
  <si>
    <t>Principal repayments of financing obligations</t>
  </si>
  <si>
    <t>Net cash provided by (used in) financing activities</t>
  </si>
  <si>
    <t>Foreign currency effect on cash, cash equivalent and restricted cash</t>
  </si>
  <si>
    <t>Net Increase/(Decrease) in cash, cash equivalents and restricted cash</t>
  </si>
  <si>
    <t>Cash, cash equivalents and restricted cash, end of period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</si>
  <si>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</si>
  <si>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</si>
  <si>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</si>
  <si>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</si>
  <si>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</si>
  <si>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</si>
  <si>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</si>
  <si>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</si>
  <si>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</si>
  <si>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</si>
  <si>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</si>
  <si>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Amazon Inc.</t>
  </si>
  <si>
    <t>Gross profit = Sales revenue - Cost of sales</t>
  </si>
  <si>
    <t>EBITDA = Operating Income + Depreciation &amp; Amortization</t>
  </si>
  <si>
    <t>Cash from operations + Capex + Proceeds from issuance of term debt</t>
  </si>
  <si>
    <t>Link share count to row 29 in Financial Statements Sheet</t>
  </si>
  <si>
    <t>Do not divide by 1,000 for this company. It varies from company to company</t>
  </si>
  <si>
    <t>Do not divide or multiply by 1,000 for this company. It varies from company to company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</si>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</sst>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 applyAlignment="1">
      <alignment horizontal="center" vertical="center"/>
    </xf>
    <xf numFmtId="0" fontId="8" fillId="0" borderId="0" xfId="0" applyFont="1"/>
    <xf numFmtId="10" fontId="0" fillId="0" borderId="0" xfId="3" applyNumberFormat="1" applyFont="1"/>
    <xf numFmtId="165" fontId="9" fillId="0" borderId="0" xfId="0" applyNumberFormat="1" applyFont="1"/>
    <xf numFmtId="0" fontId="9" fillId="0" borderId="0" xfId="0" applyFont="1" applyAlignment="1">
      <alignment horizontal="left" indent="1"/>
    </xf>
    <xf numFmtId="0" fontId="10" fillId="0" borderId="0" xfId="0" applyFont="1"/>
    <xf numFmtId="43" fontId="10" fillId="0" borderId="0" xfId="1" applyFont="1"/>
    <xf numFmtId="43" fontId="0" fillId="0" borderId="0" xfId="0" applyNumberFormat="1"/>
    <xf numFmtId="0" fontId="0" fillId="0" borderId="1" xfId="0" applyFont="1" applyBorder="1"/>
    <xf numFmtId="164" fontId="1" fillId="0" borderId="1" xfId="1" applyNumberFormat="1" applyFont="1" applyBorder="1"/>
    <xf numFmtId="0" fontId="0" fillId="0" borderId="0" xfId="0" applyFont="1"/>
    <xf numFmtId="0" fontId="0" fillId="0" borderId="0" xfId="0" applyFont="1" applyBorder="1"/>
    <xf numFmtId="164" fontId="1" fillId="0" borderId="0" xfId="1" applyNumberFormat="1" applyFont="1" applyBorder="1"/>
    <xf numFmtId="2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horizontal="left" indent="1"/>
    </xf>
    <xf numFmtId="164" fontId="1" fillId="0" borderId="0" xfId="1" applyNumberFormat="1" applyFont="1"/>
    <xf numFmtId="0" fontId="0" fillId="0" borderId="0" xfId="0" applyAlignment="1">
      <alignment horizontal="left" wrapText="1" indent="2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0" fontId="2" fillId="0" borderId="0" xfId="0" applyFont="1" applyFill="1"/>
    <xf numFmtId="0" fontId="4" fillId="2" borderId="0" xfId="0" applyFont="1" applyFill="1" applyAlignment="1">
      <alignment wrapText="1"/>
    </xf>
    <xf numFmtId="0" fontId="6" fillId="0" borderId="0" xfId="2" applyAlignment="1">
      <alignment horizontal="left" wrapText="1" indent="1"/>
    </xf>
    <xf numFmtId="0" fontId="2" fillId="0" borderId="0" xfId="0" applyFont="1" applyAlignment="1">
      <alignment wrapText="1"/>
    </xf>
    <xf numFmtId="2" fontId="0" fillId="0" borderId="0" xfId="0" applyNumberFormat="1" applyFill="1" applyAlignment="1">
      <alignment horizontal="center" vertical="center"/>
    </xf>
    <xf numFmtId="0" fontId="9" fillId="0" borderId="0" xfId="0" applyFont="1" applyFill="1"/>
    <xf numFmtId="2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0" fillId="0" borderId="0" xfId="0" applyFill="1" applyAlignment="1">
      <alignment horizontal="left" indent="2"/>
    </xf>
    <xf numFmtId="10" fontId="0" fillId="0" borderId="0" xfId="3" applyNumberFormat="1" applyFont="1" applyFill="1"/>
    <xf numFmtId="43" fontId="0" fillId="0" borderId="0" xfId="0" applyNumberFormat="1" applyFill="1"/>
    <xf numFmtId="0" fontId="2" fillId="0" borderId="0" xfId="0" applyFont="1" applyFill="1" applyAlignment="1">
      <alignment horizontal="left"/>
    </xf>
    <xf numFmtId="2" fontId="0" fillId="0" borderId="0" xfId="0" applyNumberFormat="1" applyFill="1"/>
    <xf numFmtId="10" fontId="0" fillId="0" borderId="0" xfId="0" applyNumberFormat="1" applyFill="1"/>
    <xf numFmtId="0" fontId="12" fillId="2" borderId="0" xfId="0" applyFont="1" applyFill="1" applyAlignment="1">
      <alignment horizontal="center"/>
    </xf>
    <xf numFmtId="165" fontId="0" fillId="5" borderId="0" xfId="0" applyNumberFormat="1" applyFill="1"/>
    <xf numFmtId="0" fontId="0" fillId="5" borderId="0" xfId="0" applyFill="1" applyAlignment="1">
      <alignment horizontal="left" indent="1"/>
    </xf>
    <xf numFmtId="0" fontId="0" fillId="5" borderId="0" xfId="0" applyFill="1"/>
    <xf numFmtId="44" fontId="0" fillId="5" borderId="0" xfId="4" applyFont="1" applyFill="1"/>
    <xf numFmtId="0" fontId="0" fillId="5" borderId="0" xfId="0" applyFill="1" applyAlignment="1">
      <alignment horizontal="left" indent="2"/>
    </xf>
    <xf numFmtId="164" fontId="0" fillId="5" borderId="0" xfId="1" applyNumberFormat="1" applyFont="1" applyFill="1"/>
    <xf numFmtId="43" fontId="0" fillId="5" borderId="0" xfId="0" applyNumberFormat="1" applyFill="1"/>
    <xf numFmtId="164" fontId="0" fillId="5" borderId="0" xfId="0" applyNumberForma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Currency" xfId="4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opLeftCell="A3" zoomScale="84" zoomScaleNormal="84" workbookViewId="0">
      <selection activeCell="A5" sqref="A5"/>
    </sheetView>
  </sheetViews>
  <sheetFormatPr defaultRowHeight="15" x14ac:dyDescent="0.25"/>
  <cols>
    <col min="1" max="1" width="157.85546875" style="35" customWidth="1"/>
  </cols>
  <sheetData>
    <row r="1" spans="1:1" ht="23.25" x14ac:dyDescent="0.35">
      <c r="A1" s="44" t="s">
        <v>39</v>
      </c>
    </row>
    <row r="3" spans="1:1" x14ac:dyDescent="0.25">
      <c r="A3" s="35" t="s">
        <v>137</v>
      </c>
    </row>
    <row r="4" spans="1:1" x14ac:dyDescent="0.25">
      <c r="A4" s="36" t="s">
        <v>138</v>
      </c>
    </row>
    <row r="5" spans="1:1" x14ac:dyDescent="0.25">
      <c r="A5" s="45" t="s">
        <v>139</v>
      </c>
    </row>
    <row r="7" spans="1:1" x14ac:dyDescent="0.25">
      <c r="A7" s="35" t="s">
        <v>140</v>
      </c>
    </row>
    <row r="8" spans="1:1" x14ac:dyDescent="0.25">
      <c r="A8" s="35" t="s">
        <v>141</v>
      </c>
    </row>
    <row r="9" spans="1:1" ht="30" x14ac:dyDescent="0.25">
      <c r="A9" s="35" t="s">
        <v>142</v>
      </c>
    </row>
    <row r="10" spans="1:1" x14ac:dyDescent="0.25">
      <c r="A10" s="35" t="s">
        <v>143</v>
      </c>
    </row>
    <row r="11" spans="1:1" x14ac:dyDescent="0.25">
      <c r="A11" s="35" t="s">
        <v>144</v>
      </c>
    </row>
    <row r="13" spans="1:1" x14ac:dyDescent="0.25">
      <c r="A13" s="46" t="s">
        <v>145</v>
      </c>
    </row>
    <row r="14" spans="1:1" x14ac:dyDescent="0.25">
      <c r="A14" s="35" t="s">
        <v>146</v>
      </c>
    </row>
    <row r="15" spans="1:1" x14ac:dyDescent="0.25">
      <c r="A15" s="35" t="s">
        <v>147</v>
      </c>
    </row>
  </sheetData>
  <hyperlinks>
    <hyperlink ref="A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17" zoomScale="98" zoomScaleNormal="98" workbookViewId="0">
      <selection activeCell="H31" sqref="H31"/>
    </sheetView>
  </sheetViews>
  <sheetFormatPr defaultRowHeight="15" x14ac:dyDescent="0.25"/>
  <cols>
    <col min="1" max="1" width="75.7109375" bestFit="1" customWidth="1"/>
    <col min="2" max="2" width="12.140625" customWidth="1"/>
    <col min="3" max="3" width="11.5703125" bestFit="1" customWidth="1"/>
  </cols>
  <sheetData>
    <row r="1" spans="1:9" ht="60" customHeight="1" x14ac:dyDescent="0.25">
      <c r="A1" s="5" t="s">
        <v>148</v>
      </c>
      <c r="B1" s="4" t="s">
        <v>1</v>
      </c>
      <c r="C1" s="4"/>
      <c r="D1" s="4"/>
      <c r="E1" s="4"/>
      <c r="F1" s="4"/>
      <c r="G1" s="4"/>
      <c r="H1" s="4"/>
      <c r="I1" s="4"/>
    </row>
    <row r="2" spans="1:9" x14ac:dyDescent="0.25">
      <c r="A2" s="67" t="s">
        <v>0</v>
      </c>
      <c r="B2" s="67"/>
      <c r="C2" s="67"/>
    </row>
    <row r="3" spans="1:9" x14ac:dyDescent="0.25">
      <c r="B3" s="66" t="s">
        <v>9</v>
      </c>
      <c r="C3" s="66"/>
    </row>
    <row r="4" spans="1:9" x14ac:dyDescent="0.25">
      <c r="B4" s="6">
        <v>2022</v>
      </c>
      <c r="C4" s="6">
        <v>2021</v>
      </c>
    </row>
    <row r="5" spans="1:9" x14ac:dyDescent="0.25">
      <c r="A5" s="1" t="s">
        <v>81</v>
      </c>
      <c r="B5" s="11">
        <v>242901</v>
      </c>
      <c r="C5" s="11">
        <v>241787</v>
      </c>
    </row>
    <row r="6" spans="1:9" x14ac:dyDescent="0.25">
      <c r="A6" s="1" t="s">
        <v>82</v>
      </c>
      <c r="B6" s="11">
        <v>271082</v>
      </c>
      <c r="C6" s="11">
        <v>228035</v>
      </c>
    </row>
    <row r="7" spans="1:9" x14ac:dyDescent="0.25">
      <c r="A7" s="7" t="s">
        <v>2</v>
      </c>
      <c r="B7" s="12">
        <f>+B5+B6</f>
        <v>513983</v>
      </c>
      <c r="C7" s="12">
        <f t="shared" ref="C7" si="0">+C5+C6</f>
        <v>469822</v>
      </c>
    </row>
    <row r="8" spans="1:9" x14ac:dyDescent="0.25">
      <c r="A8" t="s">
        <v>4</v>
      </c>
      <c r="B8" s="11"/>
      <c r="C8" s="11"/>
    </row>
    <row r="9" spans="1:9" s="32" customFormat="1" x14ac:dyDescent="0.25">
      <c r="A9" s="32" t="s">
        <v>83</v>
      </c>
      <c r="B9" s="33">
        <v>288831</v>
      </c>
      <c r="C9" s="33">
        <v>272344</v>
      </c>
    </row>
    <row r="10" spans="1:9" x14ac:dyDescent="0.25">
      <c r="A10" s="1" t="s">
        <v>84</v>
      </c>
      <c r="B10" s="11">
        <v>84299</v>
      </c>
      <c r="C10" s="11">
        <v>75111</v>
      </c>
    </row>
    <row r="11" spans="1:9" x14ac:dyDescent="0.25">
      <c r="A11" s="1" t="s">
        <v>85</v>
      </c>
      <c r="B11" s="11">
        <v>73213</v>
      </c>
      <c r="C11" s="11">
        <v>56052</v>
      </c>
    </row>
    <row r="12" spans="1:9" x14ac:dyDescent="0.25">
      <c r="A12" s="1" t="s">
        <v>86</v>
      </c>
      <c r="B12" s="11">
        <v>42238</v>
      </c>
      <c r="C12" s="11">
        <v>32551</v>
      </c>
    </row>
    <row r="13" spans="1:9" x14ac:dyDescent="0.25">
      <c r="A13" s="1" t="s">
        <v>87</v>
      </c>
      <c r="B13" s="11">
        <v>11891</v>
      </c>
      <c r="C13" s="11">
        <v>8823</v>
      </c>
    </row>
    <row r="14" spans="1:9" x14ac:dyDescent="0.25">
      <c r="A14" s="1" t="s">
        <v>88</v>
      </c>
      <c r="B14" s="11">
        <v>1263</v>
      </c>
      <c r="C14" s="11">
        <v>62</v>
      </c>
    </row>
    <row r="15" spans="1:9" x14ac:dyDescent="0.25">
      <c r="A15" s="7" t="s">
        <v>5</v>
      </c>
      <c r="B15" s="12">
        <f>SUM(B9:B14)</f>
        <v>501735</v>
      </c>
      <c r="C15" s="12">
        <f>SUM(C9:C14)</f>
        <v>444943</v>
      </c>
    </row>
    <row r="16" spans="1:9" s="31" customFormat="1" x14ac:dyDescent="0.25">
      <c r="A16" s="29" t="s">
        <v>6</v>
      </c>
      <c r="B16" s="30">
        <v>12248</v>
      </c>
      <c r="C16" s="30">
        <v>24879</v>
      </c>
    </row>
    <row r="17" spans="1:7" s="31" customFormat="1" x14ac:dyDescent="0.25">
      <c r="A17" s="32" t="s">
        <v>89</v>
      </c>
      <c r="B17" s="33">
        <v>989</v>
      </c>
      <c r="C17" s="33">
        <v>448</v>
      </c>
    </row>
    <row r="18" spans="1:7" s="31" customFormat="1" x14ac:dyDescent="0.25">
      <c r="A18" s="32" t="s">
        <v>90</v>
      </c>
      <c r="B18" s="33">
        <v>-2367</v>
      </c>
      <c r="C18" s="33">
        <v>-1809</v>
      </c>
    </row>
    <row r="19" spans="1:7" x14ac:dyDescent="0.25">
      <c r="A19" t="s">
        <v>91</v>
      </c>
      <c r="B19" s="11">
        <v>-16806</v>
      </c>
      <c r="C19" s="11">
        <v>14633</v>
      </c>
    </row>
    <row r="20" spans="1:7" x14ac:dyDescent="0.25">
      <c r="A20" t="s">
        <v>92</v>
      </c>
      <c r="B20" s="11">
        <f>SUM(B17:B19)</f>
        <v>-18184</v>
      </c>
      <c r="C20" s="11">
        <f>SUM(C17:C19)</f>
        <v>13272</v>
      </c>
    </row>
    <row r="21" spans="1:7" s="31" customFormat="1" x14ac:dyDescent="0.25">
      <c r="A21" s="29" t="s">
        <v>93</v>
      </c>
      <c r="B21" s="30">
        <v>-5936</v>
      </c>
      <c r="C21" s="30">
        <v>38151</v>
      </c>
    </row>
    <row r="22" spans="1:7" x14ac:dyDescent="0.25">
      <c r="A22" t="s">
        <v>94</v>
      </c>
      <c r="B22" s="11">
        <v>3217</v>
      </c>
      <c r="C22" s="11">
        <v>-4791</v>
      </c>
    </row>
    <row r="23" spans="1:7" x14ac:dyDescent="0.25">
      <c r="A23" t="s">
        <v>95</v>
      </c>
      <c r="B23" s="11">
        <v>-3</v>
      </c>
      <c r="C23" s="11">
        <v>4</v>
      </c>
      <c r="F23" t="s">
        <v>96</v>
      </c>
    </row>
    <row r="24" spans="1:7" ht="15.75" thickBot="1" x14ac:dyDescent="0.3">
      <c r="A24" s="8" t="s">
        <v>97</v>
      </c>
      <c r="B24" s="13">
        <f>SUM(B21:B23)</f>
        <v>-2722</v>
      </c>
      <c r="C24" s="13">
        <f>SUM(C21:C23)</f>
        <v>33364</v>
      </c>
    </row>
    <row r="25" spans="1:7" ht="15.75" thickTop="1" x14ac:dyDescent="0.25">
      <c r="A25" s="1" t="s">
        <v>98</v>
      </c>
      <c r="B25" s="9">
        <v>-0.27</v>
      </c>
      <c r="C25" s="34">
        <v>3.3</v>
      </c>
      <c r="E25" s="28"/>
      <c r="F25" s="28"/>
      <c r="G25" s="28"/>
    </row>
    <row r="26" spans="1:7" x14ac:dyDescent="0.25">
      <c r="A26" s="1" t="s">
        <v>99</v>
      </c>
      <c r="B26" s="9">
        <v>-0.27</v>
      </c>
      <c r="C26" s="9">
        <v>3.24</v>
      </c>
      <c r="E26" s="28"/>
      <c r="F26" s="28"/>
      <c r="G26" s="28"/>
    </row>
    <row r="27" spans="1:7" x14ac:dyDescent="0.25">
      <c r="A27" t="s">
        <v>100</v>
      </c>
    </row>
    <row r="28" spans="1:7" x14ac:dyDescent="0.25">
      <c r="A28" s="1" t="s">
        <v>7</v>
      </c>
      <c r="B28" s="2">
        <v>10189</v>
      </c>
      <c r="C28" s="2">
        <v>10117</v>
      </c>
    </row>
    <row r="29" spans="1:7" x14ac:dyDescent="0.25">
      <c r="A29" s="1" t="s">
        <v>8</v>
      </c>
      <c r="B29" s="2">
        <v>10189</v>
      </c>
      <c r="C29" s="2">
        <v>10296</v>
      </c>
    </row>
    <row r="30" spans="1:7" x14ac:dyDescent="0.25">
      <c r="B30" s="28"/>
    </row>
    <row r="31" spans="1:7" x14ac:dyDescent="0.25">
      <c r="A31" s="26" t="s">
        <v>80</v>
      </c>
      <c r="B31" s="27">
        <v>154.46</v>
      </c>
      <c r="C31" s="26">
        <v>164.58</v>
      </c>
    </row>
    <row r="32" spans="1:7" x14ac:dyDescent="0.25">
      <c r="A32" s="67" t="s">
        <v>10</v>
      </c>
      <c r="B32" s="67"/>
      <c r="C32" s="67"/>
    </row>
    <row r="33" spans="1:3" x14ac:dyDescent="0.25">
      <c r="B33" s="66" t="s">
        <v>79</v>
      </c>
      <c r="C33" s="66"/>
    </row>
    <row r="34" spans="1:3" x14ac:dyDescent="0.25">
      <c r="B34" s="6">
        <f>+B4</f>
        <v>2022</v>
      </c>
      <c r="C34" s="6">
        <f>+C4</f>
        <v>2021</v>
      </c>
    </row>
    <row r="36" spans="1:3" x14ac:dyDescent="0.25">
      <c r="A36" t="s">
        <v>11</v>
      </c>
    </row>
    <row r="37" spans="1:3" x14ac:dyDescent="0.25">
      <c r="A37" s="1" t="s">
        <v>12</v>
      </c>
      <c r="B37" s="11">
        <v>53888</v>
      </c>
      <c r="C37" s="11">
        <v>36220</v>
      </c>
    </row>
    <row r="38" spans="1:3" x14ac:dyDescent="0.25">
      <c r="A38" s="1" t="s">
        <v>13</v>
      </c>
      <c r="B38" s="11">
        <v>16138</v>
      </c>
      <c r="C38" s="11">
        <v>59829</v>
      </c>
    </row>
    <row r="39" spans="1:3" x14ac:dyDescent="0.25">
      <c r="A39" s="1" t="s">
        <v>101</v>
      </c>
      <c r="B39" s="11">
        <v>42360</v>
      </c>
      <c r="C39" s="11">
        <v>32891</v>
      </c>
    </row>
    <row r="40" spans="1:3" x14ac:dyDescent="0.25">
      <c r="A40" s="1" t="s">
        <v>14</v>
      </c>
      <c r="B40" s="11">
        <v>34405</v>
      </c>
      <c r="C40" s="11">
        <v>32640</v>
      </c>
    </row>
    <row r="41" spans="1:3" x14ac:dyDescent="0.25">
      <c r="A41" s="7" t="s">
        <v>15</v>
      </c>
      <c r="B41" s="12">
        <f>+SUM(B37:B40)</f>
        <v>146791</v>
      </c>
      <c r="C41" s="12">
        <f>+SUM(C37:C40)</f>
        <v>161580</v>
      </c>
    </row>
    <row r="42" spans="1:3" x14ac:dyDescent="0.25">
      <c r="A42" s="1" t="s">
        <v>103</v>
      </c>
      <c r="B42" s="11">
        <v>66123</v>
      </c>
      <c r="C42" s="11">
        <v>56082</v>
      </c>
    </row>
    <row r="43" spans="1:3" x14ac:dyDescent="0.25">
      <c r="A43" s="1" t="s">
        <v>102</v>
      </c>
      <c r="B43" s="11">
        <v>186715</v>
      </c>
      <c r="C43" s="11">
        <v>160281</v>
      </c>
    </row>
    <row r="44" spans="1:3" x14ac:dyDescent="0.25">
      <c r="A44" s="1" t="s">
        <v>104</v>
      </c>
      <c r="B44" s="11">
        <v>20288</v>
      </c>
      <c r="C44" s="11">
        <v>15371</v>
      </c>
    </row>
    <row r="45" spans="1:3" x14ac:dyDescent="0.25">
      <c r="A45" s="1" t="s">
        <v>105</v>
      </c>
      <c r="B45" s="11">
        <v>42758</v>
      </c>
      <c r="C45" s="11">
        <v>27235</v>
      </c>
    </row>
    <row r="46" spans="1:3" ht="15.75" thickBot="1" x14ac:dyDescent="0.3">
      <c r="A46" s="8" t="s">
        <v>16</v>
      </c>
      <c r="B46" s="13">
        <f>SUM(B41:B45)</f>
        <v>462675</v>
      </c>
      <c r="C46" s="13">
        <f>SUM(C41:C45)</f>
        <v>420549</v>
      </c>
    </row>
    <row r="47" spans="1:3" ht="15.75" thickTop="1" x14ac:dyDescent="0.25"/>
    <row r="48" spans="1:3" x14ac:dyDescent="0.25">
      <c r="A48" t="s">
        <v>17</v>
      </c>
    </row>
    <row r="49" spans="1:3" x14ac:dyDescent="0.25">
      <c r="A49" s="1" t="s">
        <v>18</v>
      </c>
      <c r="B49" s="11">
        <v>79600</v>
      </c>
      <c r="C49" s="11">
        <v>78664</v>
      </c>
    </row>
    <row r="50" spans="1:3" x14ac:dyDescent="0.25">
      <c r="A50" s="1" t="s">
        <v>106</v>
      </c>
      <c r="B50" s="11">
        <v>62566</v>
      </c>
      <c r="C50" s="11">
        <v>51775</v>
      </c>
    </row>
    <row r="51" spans="1:3" x14ac:dyDescent="0.25">
      <c r="A51" s="1" t="s">
        <v>107</v>
      </c>
      <c r="B51" s="11">
        <v>13227</v>
      </c>
      <c r="C51" s="11">
        <v>11827</v>
      </c>
    </row>
    <row r="52" spans="1:3" x14ac:dyDescent="0.25">
      <c r="A52" s="7" t="s">
        <v>19</v>
      </c>
      <c r="B52" s="12">
        <f>+SUM(B49:B51)</f>
        <v>155393</v>
      </c>
      <c r="C52" s="12">
        <f>+SUM(C49:C51)</f>
        <v>142266</v>
      </c>
    </row>
    <row r="53" spans="1:3" x14ac:dyDescent="0.25">
      <c r="A53" t="s">
        <v>26</v>
      </c>
      <c r="B53" s="11"/>
      <c r="C53" s="11"/>
    </row>
    <row r="54" spans="1:3" x14ac:dyDescent="0.25">
      <c r="A54" s="1" t="s">
        <v>108</v>
      </c>
      <c r="B54" s="11">
        <v>72968</v>
      </c>
      <c r="C54" s="11">
        <v>67651</v>
      </c>
    </row>
    <row r="55" spans="1:3" x14ac:dyDescent="0.25">
      <c r="A55" s="1" t="s">
        <v>109</v>
      </c>
      <c r="B55" s="11">
        <v>67150</v>
      </c>
      <c r="C55" s="11">
        <v>48744</v>
      </c>
    </row>
    <row r="56" spans="1:3" x14ac:dyDescent="0.25">
      <c r="A56" s="1" t="s">
        <v>110</v>
      </c>
      <c r="B56" s="11">
        <v>21121</v>
      </c>
      <c r="C56" s="11">
        <v>23643</v>
      </c>
    </row>
    <row r="57" spans="1:3" x14ac:dyDescent="0.25">
      <c r="A57" s="20" t="s">
        <v>27</v>
      </c>
      <c r="B57" s="19">
        <f>SUM(B54:B56)</f>
        <v>161239</v>
      </c>
      <c r="C57" s="19">
        <f>SUM(C54:C56)</f>
        <v>140038</v>
      </c>
    </row>
    <row r="58" spans="1:3" x14ac:dyDescent="0.25">
      <c r="A58" s="7" t="s">
        <v>20</v>
      </c>
      <c r="B58" s="12">
        <f>+B52+B57</f>
        <v>316632</v>
      </c>
      <c r="C58" s="12">
        <f t="shared" ref="C58" si="1">+C52+C57</f>
        <v>282304</v>
      </c>
    </row>
    <row r="59" spans="1:3" x14ac:dyDescent="0.25">
      <c r="A59" s="1" t="s">
        <v>111</v>
      </c>
      <c r="B59" s="11"/>
      <c r="C59" s="11"/>
    </row>
    <row r="60" spans="1:3" x14ac:dyDescent="0.25">
      <c r="A60" t="s">
        <v>21</v>
      </c>
      <c r="B60" s="11"/>
      <c r="C60" s="11"/>
    </row>
    <row r="61" spans="1:3" ht="30" x14ac:dyDescent="0.25">
      <c r="A61" s="35" t="s">
        <v>112</v>
      </c>
      <c r="B61" s="11">
        <v>0</v>
      </c>
      <c r="C61" s="11">
        <v>0</v>
      </c>
    </row>
    <row r="62" spans="1:3" ht="30" x14ac:dyDescent="0.25">
      <c r="A62" s="36" t="s">
        <v>113</v>
      </c>
      <c r="B62" s="11">
        <v>108</v>
      </c>
      <c r="C62" s="11">
        <v>106</v>
      </c>
    </row>
    <row r="63" spans="1:3" x14ac:dyDescent="0.25">
      <c r="A63" s="36" t="s">
        <v>114</v>
      </c>
      <c r="B63" s="11">
        <v>-7837</v>
      </c>
      <c r="C63" s="11">
        <v>-1837</v>
      </c>
    </row>
    <row r="64" spans="1:3" x14ac:dyDescent="0.25">
      <c r="A64" s="36" t="s">
        <v>115</v>
      </c>
      <c r="B64" s="11">
        <v>75066</v>
      </c>
      <c r="C64" s="11">
        <v>55437</v>
      </c>
    </row>
    <row r="65" spans="1:3" x14ac:dyDescent="0.25">
      <c r="A65" s="1" t="s">
        <v>22</v>
      </c>
      <c r="B65" s="11">
        <v>83193</v>
      </c>
      <c r="C65" s="11">
        <v>85915</v>
      </c>
    </row>
    <row r="66" spans="1:3" x14ac:dyDescent="0.25">
      <c r="A66" s="1" t="s">
        <v>23</v>
      </c>
      <c r="B66" s="11">
        <v>-4487</v>
      </c>
      <c r="C66" s="11">
        <v>-1376</v>
      </c>
    </row>
    <row r="67" spans="1:3" x14ac:dyDescent="0.25">
      <c r="A67" s="7" t="s">
        <v>24</v>
      </c>
      <c r="B67" s="12">
        <f>+SUM(B62:B66)</f>
        <v>146043</v>
      </c>
      <c r="C67" s="12">
        <f t="shared" ref="C67" si="2">+SUM(C62:C66)</f>
        <v>138245</v>
      </c>
    </row>
    <row r="68" spans="1:3" ht="15.75" thickBot="1" x14ac:dyDescent="0.3">
      <c r="A68" s="8" t="s">
        <v>25</v>
      </c>
      <c r="B68" s="13">
        <f>+B67+B58</f>
        <v>462675</v>
      </c>
      <c r="C68" s="13">
        <f t="shared" ref="C68" si="3">+C67+C58</f>
        <v>420549</v>
      </c>
    </row>
    <row r="69" spans="1:3" ht="15.75" thickTop="1" x14ac:dyDescent="0.25"/>
    <row r="70" spans="1:3" x14ac:dyDescent="0.25">
      <c r="A70" s="67" t="s">
        <v>28</v>
      </c>
      <c r="B70" s="67"/>
      <c r="C70" s="67"/>
    </row>
    <row r="71" spans="1:3" x14ac:dyDescent="0.25">
      <c r="B71" s="66" t="s">
        <v>9</v>
      </c>
      <c r="C71" s="66"/>
    </row>
    <row r="72" spans="1:3" x14ac:dyDescent="0.25">
      <c r="B72" s="6">
        <f>+B34</f>
        <v>2022</v>
      </c>
      <c r="C72" s="6">
        <f>+C34</f>
        <v>2021</v>
      </c>
    </row>
    <row r="74" spans="1:3" x14ac:dyDescent="0.25">
      <c r="A74" s="6" t="s">
        <v>116</v>
      </c>
      <c r="B74" s="14">
        <v>36477</v>
      </c>
      <c r="C74" s="14">
        <v>42377</v>
      </c>
    </row>
    <row r="75" spans="1:3" x14ac:dyDescent="0.25">
      <c r="A75" t="s">
        <v>29</v>
      </c>
      <c r="B75" s="11"/>
      <c r="C75" s="11"/>
    </row>
    <row r="76" spans="1:3" s="31" customFormat="1" x14ac:dyDescent="0.25">
      <c r="A76" s="37" t="s">
        <v>97</v>
      </c>
      <c r="B76" s="38">
        <v>-2722</v>
      </c>
      <c r="C76" s="38">
        <v>33364</v>
      </c>
    </row>
    <row r="77" spans="1:3" x14ac:dyDescent="0.25">
      <c r="A77" s="36" t="s">
        <v>117</v>
      </c>
      <c r="B77" s="11"/>
      <c r="C77" s="11"/>
    </row>
    <row r="78" spans="1:3" ht="30" x14ac:dyDescent="0.25">
      <c r="A78" s="39" t="s">
        <v>118</v>
      </c>
      <c r="B78" s="11">
        <v>41921</v>
      </c>
      <c r="C78" s="11">
        <v>34433</v>
      </c>
    </row>
    <row r="79" spans="1:3" x14ac:dyDescent="0.25">
      <c r="A79" s="3" t="s">
        <v>119</v>
      </c>
      <c r="B79" s="11">
        <v>19621</v>
      </c>
      <c r="C79" s="11">
        <v>12757</v>
      </c>
    </row>
    <row r="80" spans="1:3" x14ac:dyDescent="0.25">
      <c r="A80" s="3" t="s">
        <v>30</v>
      </c>
      <c r="B80" s="11">
        <v>-8148</v>
      </c>
      <c r="C80" s="11">
        <v>-310</v>
      </c>
    </row>
    <row r="81" spans="1:3" x14ac:dyDescent="0.25">
      <c r="A81" s="3" t="s">
        <v>120</v>
      </c>
      <c r="B81" s="11">
        <v>16966</v>
      </c>
      <c r="C81" s="11">
        <v>-14306</v>
      </c>
    </row>
    <row r="82" spans="1:3" x14ac:dyDescent="0.25">
      <c r="A82" t="s">
        <v>31</v>
      </c>
      <c r="B82" s="11"/>
      <c r="C82" s="11"/>
    </row>
    <row r="83" spans="1:3" x14ac:dyDescent="0.25">
      <c r="A83" s="1" t="s">
        <v>101</v>
      </c>
      <c r="B83" s="11">
        <v>-21897</v>
      </c>
      <c r="C83" s="11">
        <v>-18163</v>
      </c>
    </row>
    <row r="84" spans="1:3" x14ac:dyDescent="0.25">
      <c r="A84" s="1" t="s">
        <v>14</v>
      </c>
      <c r="B84" s="11">
        <v>-2592</v>
      </c>
      <c r="C84" s="11">
        <v>-9487</v>
      </c>
    </row>
    <row r="85" spans="1:3" x14ac:dyDescent="0.25">
      <c r="A85" s="1" t="s">
        <v>18</v>
      </c>
      <c r="B85" s="11">
        <v>2945</v>
      </c>
      <c r="C85" s="11">
        <v>3602</v>
      </c>
    </row>
    <row r="86" spans="1:3" x14ac:dyDescent="0.25">
      <c r="A86" s="1" t="s">
        <v>106</v>
      </c>
      <c r="B86" s="11">
        <v>-1558</v>
      </c>
      <c r="C86" s="11">
        <v>2123</v>
      </c>
    </row>
    <row r="87" spans="1:3" x14ac:dyDescent="0.25">
      <c r="A87" s="1" t="s">
        <v>107</v>
      </c>
      <c r="B87" s="11">
        <v>2216</v>
      </c>
      <c r="C87" s="11">
        <v>2314</v>
      </c>
    </row>
    <row r="88" spans="1:3" x14ac:dyDescent="0.25">
      <c r="A88" s="7" t="s">
        <v>121</v>
      </c>
      <c r="B88" s="12">
        <f>+SUM(B75:B87)</f>
        <v>46752</v>
      </c>
      <c r="C88" s="12">
        <f>+SUM(C75:C87)</f>
        <v>46327</v>
      </c>
    </row>
    <row r="89" spans="1:3" x14ac:dyDescent="0.25">
      <c r="A89" s="6" t="s">
        <v>32</v>
      </c>
      <c r="B89" s="11"/>
      <c r="C89" s="11"/>
    </row>
    <row r="90" spans="1:3" s="31" customFormat="1" x14ac:dyDescent="0.25">
      <c r="A90" s="31" t="s">
        <v>125</v>
      </c>
      <c r="B90" s="38">
        <v>-63645</v>
      </c>
      <c r="C90" s="38">
        <v>-61053</v>
      </c>
    </row>
    <row r="91" spans="1:3" s="42" customFormat="1" x14ac:dyDescent="0.25">
      <c r="A91" s="40" t="s">
        <v>33</v>
      </c>
      <c r="B91" s="41">
        <v>-2565</v>
      </c>
      <c r="C91" s="41">
        <v>-60157</v>
      </c>
    </row>
    <row r="92" spans="1:3" s="42" customFormat="1" x14ac:dyDescent="0.25">
      <c r="A92" s="40" t="s">
        <v>122</v>
      </c>
      <c r="B92" s="41">
        <v>31601</v>
      </c>
      <c r="C92" s="41">
        <v>59384</v>
      </c>
    </row>
    <row r="93" spans="1:3" s="42" customFormat="1" x14ac:dyDescent="0.25">
      <c r="A93" s="40" t="s">
        <v>124</v>
      </c>
      <c r="B93" s="41">
        <v>-8316</v>
      </c>
      <c r="C93" s="41">
        <v>-1985</v>
      </c>
    </row>
    <row r="94" spans="1:3" s="42" customFormat="1" x14ac:dyDescent="0.25">
      <c r="A94" s="40" t="s">
        <v>123</v>
      </c>
      <c r="B94" s="41">
        <v>5324</v>
      </c>
      <c r="C94" s="41">
        <v>5657</v>
      </c>
    </row>
    <row r="95" spans="1:3" x14ac:dyDescent="0.25">
      <c r="A95" s="7" t="s">
        <v>34</v>
      </c>
      <c r="B95" s="12">
        <f>SUM(B90:B94)</f>
        <v>-37601</v>
      </c>
      <c r="C95" s="12">
        <f>SUM(C90:C94)</f>
        <v>-58154</v>
      </c>
    </row>
    <row r="96" spans="1:3" x14ac:dyDescent="0.25">
      <c r="A96" s="6" t="s">
        <v>35</v>
      </c>
      <c r="B96" s="11"/>
      <c r="C96" s="11"/>
    </row>
    <row r="97" spans="1:3" s="42" customFormat="1" x14ac:dyDescent="0.25">
      <c r="A97" s="40" t="s">
        <v>126</v>
      </c>
      <c r="B97" s="41">
        <v>-6000</v>
      </c>
      <c r="C97" s="41">
        <v>0</v>
      </c>
    </row>
    <row r="98" spans="1:3" s="42" customFormat="1" x14ac:dyDescent="0.25">
      <c r="A98" s="40" t="s">
        <v>127</v>
      </c>
      <c r="B98" s="41">
        <v>41553</v>
      </c>
      <c r="C98" s="41">
        <v>7956</v>
      </c>
    </row>
    <row r="99" spans="1:3" s="42" customFormat="1" x14ac:dyDescent="0.25">
      <c r="A99" s="40" t="s">
        <v>128</v>
      </c>
      <c r="B99" s="41">
        <v>-37554</v>
      </c>
      <c r="C99" s="41">
        <v>-7753</v>
      </c>
    </row>
    <row r="100" spans="1:3" s="42" customFormat="1" x14ac:dyDescent="0.25">
      <c r="A100" s="40" t="s">
        <v>129</v>
      </c>
      <c r="B100" s="41">
        <v>21166</v>
      </c>
      <c r="C100" s="41">
        <v>19003</v>
      </c>
    </row>
    <row r="101" spans="1:3" s="42" customFormat="1" x14ac:dyDescent="0.25">
      <c r="A101" s="40" t="s">
        <v>130</v>
      </c>
      <c r="B101" s="41">
        <v>-1258</v>
      </c>
      <c r="C101" s="41">
        <v>-1590</v>
      </c>
    </row>
    <row r="102" spans="1:3" s="42" customFormat="1" x14ac:dyDescent="0.25">
      <c r="A102" s="40" t="s">
        <v>131</v>
      </c>
      <c r="B102" s="41">
        <v>-7941</v>
      </c>
      <c r="C102" s="41">
        <v>-11163</v>
      </c>
    </row>
    <row r="103" spans="1:3" s="42" customFormat="1" x14ac:dyDescent="0.25">
      <c r="A103" s="40" t="s">
        <v>132</v>
      </c>
      <c r="B103" s="41">
        <v>-248</v>
      </c>
      <c r="C103" s="41">
        <v>-162</v>
      </c>
    </row>
    <row r="104" spans="1:3" x14ac:dyDescent="0.25">
      <c r="A104" s="7" t="s">
        <v>133</v>
      </c>
      <c r="B104" s="12">
        <f>SUM(B97:B103)</f>
        <v>9718</v>
      </c>
      <c r="C104" s="12">
        <f>SUM(C97:C103)</f>
        <v>6291</v>
      </c>
    </row>
    <row r="105" spans="1:3" s="31" customFormat="1" x14ac:dyDescent="0.25">
      <c r="A105" s="29" t="s">
        <v>134</v>
      </c>
      <c r="B105" s="30">
        <v>-1093</v>
      </c>
      <c r="C105" s="30">
        <v>-364</v>
      </c>
    </row>
    <row r="106" spans="1:3" x14ac:dyDescent="0.25">
      <c r="A106" s="7" t="s">
        <v>135</v>
      </c>
      <c r="B106" s="12">
        <v>17776</v>
      </c>
      <c r="C106" s="12">
        <v>-5900</v>
      </c>
    </row>
    <row r="107" spans="1:3" ht="15.75" thickBot="1" x14ac:dyDescent="0.3">
      <c r="A107" s="8" t="s">
        <v>136</v>
      </c>
      <c r="B107" s="13">
        <v>54253</v>
      </c>
      <c r="C107" s="13">
        <v>36477</v>
      </c>
    </row>
    <row r="108" spans="1:3" ht="15.75" thickTop="1" x14ac:dyDescent="0.25">
      <c r="B108" s="11"/>
      <c r="C108" s="11"/>
    </row>
    <row r="109" spans="1:3" x14ac:dyDescent="0.25">
      <c r="A109" t="s">
        <v>36</v>
      </c>
      <c r="B109" s="11"/>
      <c r="C109" s="11"/>
    </row>
    <row r="110" spans="1:3" x14ac:dyDescent="0.25">
      <c r="A110" t="s">
        <v>37</v>
      </c>
      <c r="B110" s="11">
        <v>19573</v>
      </c>
      <c r="C110" s="11">
        <v>25385</v>
      </c>
    </row>
    <row r="111" spans="1:3" x14ac:dyDescent="0.25">
      <c r="A111" t="s">
        <v>38</v>
      </c>
      <c r="B111" s="11">
        <v>2865</v>
      </c>
      <c r="C111" s="11">
        <v>2687</v>
      </c>
    </row>
  </sheetData>
  <mergeCells count="6">
    <mergeCell ref="B3:C3"/>
    <mergeCell ref="B33:C33"/>
    <mergeCell ref="B71:C71"/>
    <mergeCell ref="A2:C2"/>
    <mergeCell ref="A32:C32"/>
    <mergeCell ref="A70:C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B35" workbookViewId="0">
      <selection activeCell="F51" sqref="F51"/>
    </sheetView>
  </sheetViews>
  <sheetFormatPr defaultRowHeight="15" x14ac:dyDescent="0.25"/>
  <cols>
    <col min="1" max="1" width="4.7109375" customWidth="1"/>
    <col min="2" max="2" width="44.85546875" customWidth="1"/>
    <col min="3" max="4" width="13.7109375" bestFit="1" customWidth="1"/>
    <col min="6" max="6" width="43.85546875" customWidth="1"/>
  </cols>
  <sheetData>
    <row r="1" spans="1:8" ht="60" customHeight="1" x14ac:dyDescent="0.4">
      <c r="A1" s="5"/>
      <c r="B1" s="18" t="s">
        <v>148</v>
      </c>
      <c r="C1" s="17"/>
      <c r="D1" s="17"/>
      <c r="E1" s="17"/>
      <c r="F1" s="57" t="s">
        <v>155</v>
      </c>
      <c r="G1" s="17"/>
      <c r="H1" s="17"/>
    </row>
    <row r="2" spans="1:8" x14ac:dyDescent="0.25">
      <c r="C2" s="66" t="s">
        <v>9</v>
      </c>
      <c r="D2" s="66"/>
    </row>
    <row r="3" spans="1:8" x14ac:dyDescent="0.25">
      <c r="C3" s="6">
        <f>+'Financial Statements'!B4</f>
        <v>2022</v>
      </c>
      <c r="D3" s="6">
        <f>+'Financial Statements'!C4</f>
        <v>2021</v>
      </c>
    </row>
    <row r="4" spans="1:8" x14ac:dyDescent="0.25">
      <c r="A4" s="16">
        <v>1</v>
      </c>
      <c r="B4" s="6" t="s">
        <v>40</v>
      </c>
    </row>
    <row r="5" spans="1:8" x14ac:dyDescent="0.25">
      <c r="A5" s="16">
        <f>+A4+0.1</f>
        <v>1.1000000000000001</v>
      </c>
      <c r="B5" s="1" t="s">
        <v>41</v>
      </c>
      <c r="C5" s="21">
        <f>'Financial Statements'!B41/'Financial Statements'!B52</f>
        <v>0.9446435811136924</v>
      </c>
      <c r="D5" s="21">
        <f>'Financial Statements'!C41/'Financial Statements'!C52</f>
        <v>1.1357597739445826</v>
      </c>
    </row>
    <row r="6" spans="1:8" x14ac:dyDescent="0.25">
      <c r="A6" s="16">
        <f t="shared" ref="A6:A13" si="0">+A5+0.1</f>
        <v>1.2000000000000002</v>
      </c>
      <c r="B6" s="1" t="s">
        <v>42</v>
      </c>
      <c r="C6" s="47">
        <f>('Financial Statements'!B37+'Financial Statements'!B38+'Financial Statements'!B39)/'Financial Statements'!B52</f>
        <v>0.72323721145740161</v>
      </c>
      <c r="D6" s="47">
        <f>('Financial Statements'!C37+'Financial Statements'!C38+'Financial Statements'!C39)/'Financial Statements'!C52</f>
        <v>0.90633039517523517</v>
      </c>
    </row>
    <row r="7" spans="1:8" x14ac:dyDescent="0.25">
      <c r="A7" s="24">
        <f t="shared" si="0"/>
        <v>1.3000000000000003</v>
      </c>
      <c r="B7" s="25" t="s">
        <v>43</v>
      </c>
      <c r="C7" s="21">
        <f>('Financial Statements'!B37+'Financial Statements'!B38)/'Financial Statements'!B52</f>
        <v>0.45063805962945563</v>
      </c>
      <c r="D7" s="21">
        <f>('Financial Statements'!C37+'Financial Statements'!C38)/'Financial Statements'!C52</f>
        <v>0.67513671572968947</v>
      </c>
    </row>
    <row r="8" spans="1:8" s="22" customFormat="1" x14ac:dyDescent="0.25">
      <c r="A8" s="24">
        <f t="shared" si="0"/>
        <v>1.4000000000000004</v>
      </c>
      <c r="B8" s="25" t="s">
        <v>44</v>
      </c>
      <c r="C8" s="48">
        <f>'Financial Statements'!B41/(('Financial Statements'!B15-'Financial Statements'!B78)/365)</f>
        <v>116.52258304444841</v>
      </c>
      <c r="D8" s="48">
        <f>'Financial Statements'!C41/(('Financial Statements'!C15-'Financial Statements'!C78)/365)</f>
        <v>143.66690214611094</v>
      </c>
    </row>
    <row r="9" spans="1:8" x14ac:dyDescent="0.25">
      <c r="A9" s="16">
        <f t="shared" si="0"/>
        <v>1.5000000000000004</v>
      </c>
      <c r="B9" s="1" t="s">
        <v>45</v>
      </c>
      <c r="C9" s="21">
        <f>'Financial Statements'!B40/'Financial Statements'!B9*365</f>
        <v>43.4781065744328</v>
      </c>
      <c r="D9" s="21">
        <f>(AVERAGE('Financial Statements'!B40:'Financial Statements'!C40))/'Financial Statements'!C9*365</f>
        <v>44.927417163587229</v>
      </c>
    </row>
    <row r="10" spans="1:8" x14ac:dyDescent="0.25">
      <c r="A10" s="16">
        <f t="shared" si="0"/>
        <v>1.6000000000000005</v>
      </c>
      <c r="B10" s="1" t="s">
        <v>46</v>
      </c>
      <c r="C10" s="21">
        <f>('Financial Statements'!B49*365)/'Financial Statements'!B9</f>
        <v>100.59169548975007</v>
      </c>
      <c r="D10" s="21">
        <f>('Financial Statements'!C49*365)/'Financial Statements'!C9</f>
        <v>105.42681314807743</v>
      </c>
    </row>
    <row r="11" spans="1:8" x14ac:dyDescent="0.25">
      <c r="A11" s="16">
        <f t="shared" si="0"/>
        <v>1.7000000000000006</v>
      </c>
      <c r="B11" s="1" t="s">
        <v>47</v>
      </c>
      <c r="C11" s="47">
        <f>'Financial Statements'!B39*365/'Financial Statements'!B7</f>
        <v>30.081539661817608</v>
      </c>
      <c r="D11" s="47">
        <f>'Financial Statements'!C39*365/'Financial Statements'!C7</f>
        <v>25.552688039299991</v>
      </c>
    </row>
    <row r="12" spans="1:8" x14ac:dyDescent="0.25">
      <c r="A12" s="16">
        <f t="shared" si="0"/>
        <v>1.8000000000000007</v>
      </c>
      <c r="B12" s="1" t="s">
        <v>48</v>
      </c>
      <c r="C12" s="49">
        <f>C9+C11-C10</f>
        <v>-27.03204925349965</v>
      </c>
      <c r="D12" s="49">
        <f t="shared" ref="D12" si="1">D9+D11-D10</f>
        <v>-34.946707945190212</v>
      </c>
    </row>
    <row r="13" spans="1:8" x14ac:dyDescent="0.25">
      <c r="A13" s="16">
        <f t="shared" si="0"/>
        <v>1.9000000000000008</v>
      </c>
      <c r="B13" s="1" t="s">
        <v>49</v>
      </c>
      <c r="C13">
        <f>C14/'Financial Statements'!B7</f>
        <v>-1.6735962084349094E-2</v>
      </c>
      <c r="D13">
        <f>D14/'Financial Statements'!C7</f>
        <v>4.1109186032156859E-2</v>
      </c>
    </row>
    <row r="14" spans="1:8" x14ac:dyDescent="0.25">
      <c r="A14" s="16"/>
      <c r="B14" s="3" t="s">
        <v>50</v>
      </c>
      <c r="C14">
        <f>'Financial Statements'!B41-'Financial Statements'!B52</f>
        <v>-8602</v>
      </c>
      <c r="D14">
        <f>'Financial Statements'!C41-'Financial Statements'!C52</f>
        <v>19314</v>
      </c>
    </row>
    <row r="15" spans="1:8" x14ac:dyDescent="0.25">
      <c r="A15" s="16"/>
    </row>
    <row r="16" spans="1:8" x14ac:dyDescent="0.25">
      <c r="A16" s="16">
        <f>+A4+1</f>
        <v>2</v>
      </c>
      <c r="B16" s="15" t="s">
        <v>51</v>
      </c>
    </row>
    <row r="17" spans="1:6" s="60" customFormat="1" x14ac:dyDescent="0.25">
      <c r="A17" s="58">
        <f>+A16+0.1</f>
        <v>2.1</v>
      </c>
      <c r="B17" s="59" t="s">
        <v>3</v>
      </c>
      <c r="C17" s="61">
        <f>'Financial Statements'!B7-'Financial Statements'!B9</f>
        <v>225152</v>
      </c>
      <c r="D17" s="61">
        <f>'Financial Statements'!C7-'Financial Statements'!C9</f>
        <v>197478</v>
      </c>
      <c r="F17" s="60" t="s">
        <v>149</v>
      </c>
    </row>
    <row r="18" spans="1:6" x14ac:dyDescent="0.25">
      <c r="A18" s="16">
        <f>+A17+0.1</f>
        <v>2.2000000000000002</v>
      </c>
      <c r="B18" s="1" t="s">
        <v>52</v>
      </c>
      <c r="C18" s="23">
        <f>C19/'Financial Statements'!B7</f>
        <v>0.10539064521589235</v>
      </c>
      <c r="D18" s="23">
        <f>D19/'Financial Statements'!C7</f>
        <v>0.12624355607017126</v>
      </c>
    </row>
    <row r="19" spans="1:6" s="60" customFormat="1" x14ac:dyDescent="0.25">
      <c r="A19" s="58"/>
      <c r="B19" s="62" t="s">
        <v>53</v>
      </c>
      <c r="C19" s="63">
        <f>'Financial Statements'!B16+'Financial Statements'!B78</f>
        <v>54169</v>
      </c>
      <c r="D19" s="63">
        <f>'Financial Statements'!C16+'Financial Statements'!C78</f>
        <v>59312</v>
      </c>
      <c r="F19" s="60" t="s">
        <v>150</v>
      </c>
    </row>
    <row r="20" spans="1:6" x14ac:dyDescent="0.25">
      <c r="A20" s="16">
        <f>+A18+0.1</f>
        <v>2.3000000000000003</v>
      </c>
      <c r="B20" s="1" t="s">
        <v>54</v>
      </c>
      <c r="C20" s="23">
        <f>C21/'Financial Statements'!B7</f>
        <v>2.3829581912242232E-2</v>
      </c>
      <c r="D20" s="23">
        <f>D21/'Financial Statements'!C7</f>
        <v>5.2954097509269465E-2</v>
      </c>
    </row>
    <row r="21" spans="1:6" s="42" customFormat="1" x14ac:dyDescent="0.25">
      <c r="A21" s="50"/>
      <c r="B21" s="51" t="s">
        <v>55</v>
      </c>
      <c r="C21" s="41">
        <f>'Financial Statements'!B16</f>
        <v>12248</v>
      </c>
      <c r="D21" s="41">
        <f>'Financial Statements'!C16</f>
        <v>24879</v>
      </c>
    </row>
    <row r="22" spans="1:6" x14ac:dyDescent="0.25">
      <c r="A22" s="16">
        <f>+A20+0.1</f>
        <v>2.4000000000000004</v>
      </c>
      <c r="B22" s="1" t="s">
        <v>56</v>
      </c>
      <c r="C22" s="23">
        <f>'Financial Statements'!B24/'Financial Statements'!B7</f>
        <v>-5.2958950004183018E-3</v>
      </c>
      <c r="D22" s="23">
        <f>'Financial Statements'!C24/'Financial Statements'!C7</f>
        <v>7.1014128755145567E-2</v>
      </c>
    </row>
    <row r="23" spans="1:6" x14ac:dyDescent="0.25">
      <c r="A23" s="16"/>
    </row>
    <row r="24" spans="1:6" s="42" customFormat="1" x14ac:dyDescent="0.25">
      <c r="A24" s="50">
        <f>+A16+1</f>
        <v>3</v>
      </c>
      <c r="B24" s="43" t="s">
        <v>57</v>
      </c>
    </row>
    <row r="25" spans="1:6" s="42" customFormat="1" x14ac:dyDescent="0.25">
      <c r="A25" s="50">
        <f>+A24+0.1</f>
        <v>3.1</v>
      </c>
      <c r="B25" s="40" t="s">
        <v>58</v>
      </c>
      <c r="C25" s="52">
        <f>'Financial Statements'!B55/'Financial Statements'!B67</f>
        <v>0.45979608745369516</v>
      </c>
      <c r="D25" s="52">
        <f>'Financial Statements'!C55/'Financial Statements'!C67</f>
        <v>0.35259141379435061</v>
      </c>
    </row>
    <row r="26" spans="1:6" s="42" customFormat="1" x14ac:dyDescent="0.25">
      <c r="A26" s="50">
        <f t="shared" ref="A26:A30" si="2">+A25+0.1</f>
        <v>3.2</v>
      </c>
      <c r="B26" s="40" t="s">
        <v>59</v>
      </c>
      <c r="C26" s="52">
        <f>'Financial Statements'!B55/'Financial Statements'!B46</f>
        <v>0.14513427351812827</v>
      </c>
      <c r="D26" s="52">
        <f>'Financial Statements'!C55/'Financial Statements'!C46</f>
        <v>0.11590563763081116</v>
      </c>
    </row>
    <row r="27" spans="1:6" s="42" customFormat="1" x14ac:dyDescent="0.25">
      <c r="A27" s="50">
        <f t="shared" si="2"/>
        <v>3.3000000000000003</v>
      </c>
      <c r="B27" s="40" t="s">
        <v>60</v>
      </c>
      <c r="C27" s="52">
        <f>'Financial Statements'!B55/('Financial Statements'!B55+'Financial Statements'!B67)</f>
        <v>0.31497281805687805</v>
      </c>
      <c r="D27" s="52">
        <f>'Financial Statements'!C55/('Financial Statements'!C55+'Financial Statements'!C67)</f>
        <v>0.26067843562990334</v>
      </c>
    </row>
    <row r="28" spans="1:6" s="42" customFormat="1" x14ac:dyDescent="0.25">
      <c r="A28" s="50">
        <f t="shared" si="2"/>
        <v>3.4000000000000004</v>
      </c>
      <c r="B28" s="40" t="s">
        <v>61</v>
      </c>
      <c r="C28" s="53">
        <f>C21/'Financial Statements'!B111</f>
        <v>4.2750436300174517</v>
      </c>
      <c r="D28" s="53">
        <f>D21/'Financial Statements'!C111</f>
        <v>9.2590249348716043</v>
      </c>
    </row>
    <row r="29" spans="1:6" s="42" customFormat="1" x14ac:dyDescent="0.25">
      <c r="A29" s="50">
        <f t="shared" si="2"/>
        <v>3.5000000000000004</v>
      </c>
      <c r="B29" s="40" t="s">
        <v>62</v>
      </c>
      <c r="C29" s="42">
        <f>'Financial Statements'!B16/('Financial Statements'!B111+(-'Financial Statements'!B99))</f>
        <v>0.30302580469581136</v>
      </c>
      <c r="D29" s="42">
        <f>'Financial Statements'!C16/('Financial Statements'!C111+(-'Financial Statements'!C99))</f>
        <v>2.3830459770114945</v>
      </c>
    </row>
    <row r="30" spans="1:6" s="60" customFormat="1" x14ac:dyDescent="0.25">
      <c r="A30" s="58">
        <f t="shared" si="2"/>
        <v>3.6000000000000005</v>
      </c>
      <c r="B30" s="59" t="s">
        <v>63</v>
      </c>
      <c r="C30" s="60">
        <f>C31*1000000/('Financial Statements'!B29*1000)</f>
        <v>14913.141623319267</v>
      </c>
      <c r="D30" s="60">
        <f>D31*1000000/('Financial Statements'!C29*1000)</f>
        <v>11202.020202020201</v>
      </c>
      <c r="F30" s="60" t="s">
        <v>152</v>
      </c>
    </row>
    <row r="31" spans="1:6" s="60" customFormat="1" x14ac:dyDescent="0.25">
      <c r="A31" s="58"/>
      <c r="B31" s="62" t="s">
        <v>64</v>
      </c>
      <c r="C31" s="60">
        <f>'Financial Statements'!B88+(-'Financial Statements'!B90)+'Financial Statements'!B98</f>
        <v>151950</v>
      </c>
      <c r="D31" s="60">
        <f>'Financial Statements'!C88+(-'Financial Statements'!C90)+'Financial Statements'!C98</f>
        <v>115336</v>
      </c>
      <c r="F31" s="60" t="s">
        <v>151</v>
      </c>
    </row>
    <row r="32" spans="1:6" s="42" customFormat="1" x14ac:dyDescent="0.25">
      <c r="A32" s="50"/>
    </row>
    <row r="33" spans="1:6" s="42" customFormat="1" x14ac:dyDescent="0.25">
      <c r="A33" s="50">
        <f>+A24+1</f>
        <v>4</v>
      </c>
      <c r="B33" s="54" t="s">
        <v>65</v>
      </c>
    </row>
    <row r="34" spans="1:6" s="42" customFormat="1" x14ac:dyDescent="0.25">
      <c r="A34" s="50">
        <f>+A33+0.1</f>
        <v>4.0999999999999996</v>
      </c>
      <c r="B34" s="40" t="s">
        <v>66</v>
      </c>
      <c r="C34" s="55">
        <f>'Financial Statements'!B7/'Financial Statements'!B46</f>
        <v>1.1108942562273734</v>
      </c>
      <c r="D34" s="55">
        <f>'Financial Statements'!C7/AVERAGE('Financial Statements'!B46:'Financial Statements'!C46)</f>
        <v>1.0638796047208863</v>
      </c>
    </row>
    <row r="35" spans="1:6" s="42" customFormat="1" x14ac:dyDescent="0.25">
      <c r="A35" s="50">
        <f t="shared" ref="A35:A37" si="3">+A34+0.1</f>
        <v>4.1999999999999993</v>
      </c>
      <c r="B35" s="40" t="s">
        <v>67</v>
      </c>
      <c r="C35" s="55">
        <f>'Financial Statements'!B7/('Financial Statements'!B43)</f>
        <v>2.7527675869640897</v>
      </c>
      <c r="D35" s="55">
        <f>'Financial Statements'!C7/AVERAGE('Financial Statements'!B43:'Financial Statements'!C43)</f>
        <v>2.7079389964149443</v>
      </c>
    </row>
    <row r="36" spans="1:6" s="42" customFormat="1" x14ac:dyDescent="0.25">
      <c r="A36" s="50">
        <f t="shared" si="3"/>
        <v>4.2999999999999989</v>
      </c>
      <c r="B36" s="40" t="s">
        <v>68</v>
      </c>
      <c r="C36" s="55">
        <f>'Financial Statements'!B9/'Financial Statements'!B40</f>
        <v>8.3950297921813686</v>
      </c>
      <c r="D36" s="55">
        <f>'Financial Statements'!C9/AVERAGE('Financial Statements'!B40:'Financial Statements'!C40)</f>
        <v>8.1242150794242676</v>
      </c>
    </row>
    <row r="37" spans="1:6" s="42" customFormat="1" x14ac:dyDescent="0.25">
      <c r="A37" s="50">
        <f t="shared" si="3"/>
        <v>4.3999999999999986</v>
      </c>
      <c r="B37" s="40" t="s">
        <v>69</v>
      </c>
      <c r="C37" s="52">
        <f>'Financial Statements'!B24/'Financial Statements'!B46</f>
        <v>-5.8831793375479545E-3</v>
      </c>
      <c r="D37" s="52">
        <f>'Financial Statements'!C24/AVERAGE('Financial Statements'!B46:'Financial Statements'!C46)</f>
        <v>7.5550483229622378E-2</v>
      </c>
    </row>
    <row r="38" spans="1:6" s="42" customFormat="1" x14ac:dyDescent="0.25">
      <c r="A38" s="50"/>
    </row>
    <row r="39" spans="1:6" s="42" customFormat="1" x14ac:dyDescent="0.25">
      <c r="A39" s="50">
        <f>+A33+1</f>
        <v>5</v>
      </c>
      <c r="B39" s="54" t="s">
        <v>70</v>
      </c>
    </row>
    <row r="40" spans="1:6" s="42" customFormat="1" x14ac:dyDescent="0.25">
      <c r="A40" s="50">
        <f>+A39+0.1</f>
        <v>5.0999999999999996</v>
      </c>
      <c r="B40" s="40" t="s">
        <v>71</v>
      </c>
      <c r="C40" s="53">
        <f>'Financial Statements'!B31/'Financial Statements'!B26</f>
        <v>-572.07407407407402</v>
      </c>
      <c r="D40" s="53">
        <f>'Financial Statements'!C31/'Financial Statements'!C26</f>
        <v>50.796296296296298</v>
      </c>
    </row>
    <row r="41" spans="1:6" s="42" customFormat="1" x14ac:dyDescent="0.25">
      <c r="A41" s="50">
        <f t="shared" ref="A41:A43" si="4">+A40+0.1</f>
        <v>5.1999999999999993</v>
      </c>
      <c r="B41" s="51" t="s">
        <v>72</v>
      </c>
      <c r="C41" s="42">
        <f>'Financial Statements'!B26</f>
        <v>-0.27</v>
      </c>
      <c r="D41" s="42">
        <f>'Financial Statements'!C26</f>
        <v>3.24</v>
      </c>
    </row>
    <row r="42" spans="1:6" s="42" customFormat="1" x14ac:dyDescent="0.25">
      <c r="A42" s="50">
        <f t="shared" si="4"/>
        <v>5.2999999999999989</v>
      </c>
      <c r="B42" s="40" t="s">
        <v>73</v>
      </c>
      <c r="C42" s="53">
        <f>'Financial Statements'!B31/('Financial Statements'!B67/('Financial Statements'!B29/1000))</f>
        <v>1.0776229877501832E-2</v>
      </c>
      <c r="D42" s="53">
        <f>'Financial Statements'!C31/('Financial Statements'!C67/('Financial Statements'!C29/1000))</f>
        <v>1.2257337914571956E-2</v>
      </c>
    </row>
    <row r="43" spans="1:6" s="60" customFormat="1" x14ac:dyDescent="0.25">
      <c r="A43" s="58">
        <f t="shared" si="4"/>
        <v>5.3999999999999986</v>
      </c>
      <c r="B43" s="62" t="s">
        <v>74</v>
      </c>
      <c r="C43" s="64">
        <f>'Financial Statements'!B67/('Financial Statements'!B29)</f>
        <v>14.333398763372264</v>
      </c>
      <c r="D43" s="64">
        <f>'Financial Statements'!C67/('Financial Statements'!C29)</f>
        <v>13.427059052059052</v>
      </c>
      <c r="F43" s="60" t="s">
        <v>153</v>
      </c>
    </row>
    <row r="44" spans="1:6" s="42" customFormat="1" x14ac:dyDescent="0.25">
      <c r="A44" s="50" t="e">
        <f>+#REF!+0.1</f>
        <v>#REF!</v>
      </c>
      <c r="B44" s="40" t="s">
        <v>75</v>
      </c>
      <c r="C44" s="52">
        <f>'Financial Statements'!B24/'Financial Statements'!B67</f>
        <v>-1.8638346240490815E-2</v>
      </c>
      <c r="D44" s="52">
        <f>'Financial Statements'!C24/AVERAGE('Financial Statements'!B67:'Financial Statements'!C67)</f>
        <v>0.23471972084646556</v>
      </c>
    </row>
    <row r="45" spans="1:6" s="42" customFormat="1" x14ac:dyDescent="0.25">
      <c r="A45" s="50" t="e">
        <f>+#REF!+0.1</f>
        <v>#REF!</v>
      </c>
      <c r="B45" s="40" t="s">
        <v>76</v>
      </c>
      <c r="C45" s="52">
        <f>C21/('Financial Statements'!B46-'Financial Statements'!B52)</f>
        <v>3.985915217943127E-2</v>
      </c>
      <c r="D45" s="52">
        <f>D21/('Financial Statements'!C46-'Financial Statements'!C52)</f>
        <v>8.9401796013410806E-2</v>
      </c>
    </row>
    <row r="46" spans="1:6" s="42" customFormat="1" x14ac:dyDescent="0.25">
      <c r="A46" s="50" t="e">
        <f t="shared" ref="A46:A47" si="5">+A44+0.1</f>
        <v>#REF!</v>
      </c>
      <c r="B46" s="40" t="s">
        <v>69</v>
      </c>
      <c r="C46" s="56">
        <f>C37</f>
        <v>-5.8831793375479545E-3</v>
      </c>
      <c r="D46" s="56">
        <f t="shared" ref="D46" si="6">D37</f>
        <v>7.5550483229622378E-2</v>
      </c>
    </row>
    <row r="47" spans="1:6" s="42" customFormat="1" x14ac:dyDescent="0.25">
      <c r="A47" s="50" t="e">
        <f t="shared" si="5"/>
        <v>#REF!</v>
      </c>
      <c r="B47" s="40" t="s">
        <v>77</v>
      </c>
      <c r="C47" s="53">
        <f>C48/'Financial Statements'!B21</f>
        <v>-2.2344295473281681</v>
      </c>
      <c r="D47" s="53">
        <f>D48/'Financial Statements'!C21</f>
        <v>0.32831890424051791</v>
      </c>
    </row>
    <row r="48" spans="1:6" s="60" customFormat="1" x14ac:dyDescent="0.25">
      <c r="A48" s="58"/>
      <c r="B48" s="62" t="s">
        <v>78</v>
      </c>
      <c r="C48" s="65">
        <f>(('Financial Statements'!B29)*'Financial Statements'!B31/1000000)+'Financial Statements'!B55-('Financial Statements'!B37)</f>
        <v>13263.573792940006</v>
      </c>
      <c r="D48" s="65">
        <f>(('Financial Statements'!C29)*'Financial Statements'!C31/1000000)+'Financial Statements'!C55-('Financial Statements'!C37)</f>
        <v>12525.694515679999</v>
      </c>
      <c r="F48" s="60" t="s">
        <v>154</v>
      </c>
    </row>
    <row r="49" spans="2:4" s="42" customFormat="1" x14ac:dyDescent="0.25"/>
    <row r="53" spans="2:4" x14ac:dyDescent="0.25">
      <c r="B53" s="43"/>
      <c r="C53" s="6"/>
      <c r="D53" s="6"/>
    </row>
    <row r="54" spans="2:4" x14ac:dyDescent="0.25">
      <c r="B54" s="10"/>
    </row>
    <row r="55" spans="2:4" x14ac:dyDescent="0.25">
      <c r="C55" s="23"/>
      <c r="D55" s="23"/>
    </row>
    <row r="56" spans="2:4" x14ac:dyDescent="0.25">
      <c r="C56" s="23"/>
      <c r="D56" s="23"/>
    </row>
    <row r="57" spans="2:4" x14ac:dyDescent="0.25">
      <c r="C57" s="23"/>
      <c r="D57" s="23"/>
    </row>
    <row r="58" spans="2:4" x14ac:dyDescent="0.25">
      <c r="B58" s="10"/>
    </row>
    <row r="59" spans="2:4" x14ac:dyDescent="0.25">
      <c r="C59" s="23"/>
      <c r="D59" s="23"/>
    </row>
    <row r="60" spans="2:4" x14ac:dyDescent="0.25">
      <c r="C60" s="23"/>
      <c r="D60" s="23"/>
    </row>
    <row r="61" spans="2:4" x14ac:dyDescent="0.25">
      <c r="B61" s="10"/>
    </row>
    <row r="62" spans="2:4" x14ac:dyDescent="0.25">
      <c r="C62" s="23"/>
      <c r="D62" s="23"/>
    </row>
    <row r="63" spans="2:4" x14ac:dyDescent="0.25">
      <c r="C63" s="23"/>
      <c r="D63" s="23"/>
    </row>
    <row r="64" spans="2:4" x14ac:dyDescent="0.25">
      <c r="B64" s="10"/>
    </row>
    <row r="65" spans="2:4" x14ac:dyDescent="0.25">
      <c r="C65" s="23"/>
      <c r="D65" s="23"/>
    </row>
    <row r="66" spans="2:4" x14ac:dyDescent="0.25">
      <c r="C66" s="23"/>
      <c r="D66" s="23"/>
    </row>
    <row r="67" spans="2:4" x14ac:dyDescent="0.25">
      <c r="C67" s="23"/>
      <c r="D67" s="23"/>
    </row>
    <row r="70" spans="2:4" x14ac:dyDescent="0.25">
      <c r="B70" s="43"/>
    </row>
    <row r="71" spans="2:4" x14ac:dyDescent="0.25">
      <c r="C71" s="23"/>
      <c r="D71" s="23"/>
    </row>
    <row r="72" spans="2:4" x14ac:dyDescent="0.25">
      <c r="C72" s="23"/>
      <c r="D72" s="23"/>
    </row>
    <row r="73" spans="2:4" x14ac:dyDescent="0.25">
      <c r="C73" s="23"/>
      <c r="D73" s="23"/>
    </row>
    <row r="74" spans="2:4" x14ac:dyDescent="0.25">
      <c r="C74" s="23"/>
      <c r="D74" s="23"/>
    </row>
    <row r="75" spans="2:4" x14ac:dyDescent="0.25">
      <c r="C75" s="23"/>
      <c r="D75" s="23"/>
    </row>
    <row r="78" spans="2:4" x14ac:dyDescent="0.25">
      <c r="B78" s="43"/>
    </row>
    <row r="79" spans="2:4" x14ac:dyDescent="0.25">
      <c r="C79" s="42"/>
      <c r="D79" s="42"/>
    </row>
    <row r="80" spans="2:4" x14ac:dyDescent="0.25">
      <c r="C80" s="23"/>
      <c r="D80" s="23"/>
    </row>
    <row r="81" spans="3:4" x14ac:dyDescent="0.25">
      <c r="C81" s="23"/>
      <c r="D81" s="23"/>
    </row>
  </sheetData>
  <mergeCells count="1"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2020-05-18T16:32:37Z</dcterms:created>
  <dcterms:modified xsi:type="dcterms:W3CDTF">2023-06-24T14:10:59Z</dcterms:modified>
</cp:coreProperties>
</file>