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370" windowHeight="0"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6" l="1"/>
  <c r="L52" i="6"/>
  <c r="M52" i="6"/>
  <c r="N52" i="6"/>
  <c r="J52" i="6"/>
  <c r="K41" i="6"/>
  <c r="L41" i="6" s="1"/>
  <c r="M41" i="6" s="1"/>
  <c r="N41" i="6" s="1"/>
  <c r="J41" i="6"/>
  <c r="J15" i="6"/>
  <c r="K48" i="6"/>
  <c r="L48" i="6"/>
  <c r="M48" i="6"/>
  <c r="N48" i="6"/>
  <c r="J48" i="6"/>
  <c r="N57" i="6" l="1"/>
  <c r="M57" i="6"/>
  <c r="L57" i="6"/>
  <c r="K57" i="6"/>
  <c r="J57" i="6"/>
  <c r="G41" i="6" l="1"/>
  <c r="C63" i="6" l="1"/>
  <c r="D63" i="6"/>
  <c r="E63" i="6"/>
  <c r="F63" i="6"/>
  <c r="G63" i="6"/>
  <c r="H63" i="6"/>
  <c r="I63" i="6"/>
  <c r="B63" i="6"/>
  <c r="J63" i="6" l="1"/>
  <c r="C58" i="6"/>
  <c r="D58" i="6"/>
  <c r="E58" i="6"/>
  <c r="F58" i="6"/>
  <c r="G58" i="6"/>
  <c r="H58" i="6"/>
  <c r="I58" i="6"/>
  <c r="B58" i="6"/>
  <c r="C64" i="6"/>
  <c r="D64" i="6"/>
  <c r="E64" i="6"/>
  <c r="F64" i="6"/>
  <c r="G64" i="6"/>
  <c r="H64" i="6"/>
  <c r="I64" i="6"/>
  <c r="B64" i="6"/>
  <c r="C60" i="6"/>
  <c r="D60" i="6"/>
  <c r="E60" i="6"/>
  <c r="F60" i="6"/>
  <c r="G60" i="6"/>
  <c r="H60" i="6"/>
  <c r="I60" i="6"/>
  <c r="B60" i="6"/>
  <c r="J60" i="6" l="1"/>
  <c r="K63" i="6"/>
  <c r="L63" i="6" s="1"/>
  <c r="M63" i="6" s="1"/>
  <c r="N63" i="6" s="1"/>
  <c r="C25" i="6"/>
  <c r="D25" i="6"/>
  <c r="E25" i="6"/>
  <c r="F25" i="6"/>
  <c r="G25" i="6"/>
  <c r="H25" i="6"/>
  <c r="I25" i="6"/>
  <c r="B25" i="6"/>
  <c r="C22" i="6"/>
  <c r="D22" i="6"/>
  <c r="E22" i="6"/>
  <c r="F22" i="6"/>
  <c r="G22" i="6"/>
  <c r="H22" i="6"/>
  <c r="I22" i="6"/>
  <c r="J22" i="6" s="1"/>
  <c r="K22" i="6" s="1"/>
  <c r="L22" i="6" s="1"/>
  <c r="M22" i="6" s="1"/>
  <c r="N22" i="6" s="1"/>
  <c r="B22" i="6"/>
  <c r="K60" i="6" l="1"/>
  <c r="L60" i="6" s="1"/>
  <c r="M60" i="6" s="1"/>
  <c r="N60" i="6" s="1"/>
  <c r="J61" i="6"/>
  <c r="M25" i="6"/>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E32" i="6" s="1"/>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K15" i="6" s="1"/>
  <c r="B15" i="6"/>
  <c r="B18" i="6" s="1"/>
  <c r="C17" i="6"/>
  <c r="D17" i="6"/>
  <c r="E17" i="6"/>
  <c r="F17" i="6"/>
  <c r="G17" i="6"/>
  <c r="H17" i="6"/>
  <c r="I17" i="6"/>
  <c r="J62" i="6" s="1"/>
  <c r="B17"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B32" i="6" l="1"/>
  <c r="G32" i="6"/>
  <c r="H32" i="6"/>
  <c r="L15" i="6"/>
  <c r="M15" i="6" s="1"/>
  <c r="N15" i="6" s="1"/>
  <c r="G51" i="6"/>
  <c r="E51" i="6"/>
  <c r="D51" i="6"/>
  <c r="C51" i="6"/>
  <c r="J50" i="6"/>
  <c r="K50" i="6" s="1"/>
  <c r="L50" i="6" s="1"/>
  <c r="M50" i="6" s="1"/>
  <c r="N50" i="6" s="1"/>
  <c r="I51" i="6"/>
  <c r="H51" i="6"/>
  <c r="F51" i="6"/>
  <c r="J18" i="6"/>
  <c r="I48" i="6"/>
  <c r="J12" i="6"/>
  <c r="K12" i="6" s="1"/>
  <c r="L12" i="6" s="1"/>
  <c r="M12" i="6" s="1"/>
  <c r="N12" i="6" s="1"/>
  <c r="J65" i="6"/>
  <c r="K62" i="6"/>
  <c r="M27" i="6"/>
  <c r="L27" i="6"/>
  <c r="K27" i="6"/>
  <c r="N27" i="6"/>
  <c r="J27" i="6"/>
  <c r="M28" i="6"/>
  <c r="L28" i="6"/>
  <c r="K28" i="6"/>
  <c r="N28" i="6"/>
  <c r="J28" i="6"/>
  <c r="M29" i="6"/>
  <c r="L29" i="6"/>
  <c r="K29" i="6"/>
  <c r="N29" i="6"/>
  <c r="J29" i="6"/>
  <c r="M30" i="6"/>
  <c r="L30" i="6"/>
  <c r="K30" i="6"/>
  <c r="N30" i="6"/>
  <c r="J30" i="6"/>
  <c r="I39" i="6"/>
  <c r="J40" i="6"/>
  <c r="B39" i="6"/>
  <c r="B43" i="6" s="1"/>
  <c r="M42" i="6"/>
  <c r="L42" i="6"/>
  <c r="K42" i="6"/>
  <c r="N42" i="6"/>
  <c r="J42" i="6"/>
  <c r="I18" i="6"/>
  <c r="I32" i="6"/>
  <c r="J32" i="6" s="1"/>
  <c r="K32" i="6" s="1"/>
  <c r="L32" i="6" s="1"/>
  <c r="M32" i="6" s="1"/>
  <c r="N32" i="6" s="1"/>
  <c r="F18" i="6"/>
  <c r="D32" i="6"/>
  <c r="G18" i="6"/>
  <c r="H31" i="6"/>
  <c r="E18" i="6"/>
  <c r="E31" i="6"/>
  <c r="H71" i="6"/>
  <c r="H39" i="6"/>
  <c r="H43" i="6" s="1"/>
  <c r="F31" i="6"/>
  <c r="C18" i="6"/>
  <c r="F71" i="6"/>
  <c r="C32" i="6"/>
  <c r="C31" i="6"/>
  <c r="G52" i="6"/>
  <c r="E71" i="6"/>
  <c r="E39" i="6"/>
  <c r="E43" i="6" s="1"/>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I43" i="6" l="1"/>
  <c r="I44" i="6" s="1"/>
  <c r="J39" i="6"/>
  <c r="J43" i="6" s="1"/>
  <c r="K40" i="6"/>
  <c r="K18" i="6"/>
  <c r="K71" i="6"/>
  <c r="J10" i="6"/>
  <c r="L62" i="6"/>
  <c r="D43" i="6"/>
  <c r="D44" i="6" s="1"/>
  <c r="B44" i="6"/>
  <c r="E44" i="6"/>
  <c r="G44" i="6"/>
  <c r="H44" i="6"/>
  <c r="C43" i="6"/>
  <c r="C44" i="6" s="1"/>
  <c r="F44" i="6"/>
  <c r="B187" i="3"/>
  <c r="L71" i="6" l="1"/>
  <c r="K10" i="6"/>
  <c r="L40" i="6"/>
  <c r="K39" i="6"/>
  <c r="K43" i="6" s="1"/>
  <c r="M62" i="6"/>
  <c r="L18" i="6"/>
  <c r="M40" i="6" l="1"/>
  <c r="L39" i="6"/>
  <c r="L43" i="6" s="1"/>
  <c r="N18" i="6"/>
  <c r="M18" i="6"/>
  <c r="N62" i="6"/>
  <c r="M71" i="6"/>
  <c r="L10" i="6"/>
  <c r="F200" i="3"/>
  <c r="G200" i="3"/>
  <c r="H200" i="3"/>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C200" i="3" s="1"/>
  <c r="D197" i="3"/>
  <c r="D200" i="3" s="1"/>
  <c r="E197" i="3"/>
  <c r="E200" i="3" s="1"/>
  <c r="F197" i="3"/>
  <c r="G197" i="3"/>
  <c r="H197" i="3"/>
  <c r="I197" i="3"/>
  <c r="I200" i="3" s="1"/>
  <c r="J200" i="3" s="1"/>
  <c r="K200" i="3" s="1"/>
  <c r="L200" i="3" s="1"/>
  <c r="M200" i="3" s="1"/>
  <c r="N200" i="3" s="1"/>
  <c r="B197" i="3"/>
  <c r="B200" i="3" s="1"/>
  <c r="C191" i="3"/>
  <c r="D191" i="3"/>
  <c r="E191" i="3"/>
  <c r="E193" i="3" s="1"/>
  <c r="F191" i="3"/>
  <c r="F193" i="3" s="1"/>
  <c r="G191" i="3"/>
  <c r="H191" i="3"/>
  <c r="I191" i="3"/>
  <c r="B191" i="3"/>
  <c r="C187" i="3"/>
  <c r="D187" i="3"/>
  <c r="E187" i="3"/>
  <c r="F187" i="3"/>
  <c r="G187" i="3"/>
  <c r="H187" i="3"/>
  <c r="I187" i="3"/>
  <c r="C176" i="3"/>
  <c r="C179" i="3" s="1"/>
  <c r="D176" i="3"/>
  <c r="D179" i="3" s="1"/>
  <c r="E176" i="3"/>
  <c r="F176" i="3"/>
  <c r="F179" i="3" s="1"/>
  <c r="G176" i="3"/>
  <c r="H176" i="3"/>
  <c r="I176" i="3"/>
  <c r="I179" i="3" s="1"/>
  <c r="J179" i="3" s="1"/>
  <c r="B176" i="3"/>
  <c r="B179" i="3" s="1"/>
  <c r="C173" i="3"/>
  <c r="D173" i="3"/>
  <c r="E173" i="3"/>
  <c r="F173" i="3"/>
  <c r="G173" i="3"/>
  <c r="H173" i="3"/>
  <c r="I173" i="3"/>
  <c r="B173" i="3"/>
  <c r="C170" i="3"/>
  <c r="D170" i="3"/>
  <c r="E170" i="3"/>
  <c r="F170" i="3"/>
  <c r="G170" i="3"/>
  <c r="H170" i="3"/>
  <c r="I170" i="3"/>
  <c r="B170" i="3"/>
  <c r="C166" i="3"/>
  <c r="D166" i="3"/>
  <c r="E166" i="3"/>
  <c r="F166" i="3"/>
  <c r="G166" i="3"/>
  <c r="H166" i="3"/>
  <c r="I166" i="3"/>
  <c r="B166" i="3"/>
  <c r="C155" i="3"/>
  <c r="C158" i="3" s="1"/>
  <c r="D155" i="3"/>
  <c r="E155" i="3"/>
  <c r="F155" i="3"/>
  <c r="G155" i="3"/>
  <c r="G158" i="3" s="1"/>
  <c r="H155" i="3"/>
  <c r="H158" i="3" s="1"/>
  <c r="I155" i="3"/>
  <c r="B155" i="3"/>
  <c r="C152" i="3"/>
  <c r="D152" i="3"/>
  <c r="E152" i="3"/>
  <c r="F152" i="3"/>
  <c r="G152" i="3"/>
  <c r="H152" i="3"/>
  <c r="I152" i="3"/>
  <c r="B152" i="3"/>
  <c r="B153" i="3" s="1"/>
  <c r="C149" i="3"/>
  <c r="C159" i="3" s="1"/>
  <c r="D149" i="3"/>
  <c r="D159" i="3" s="1"/>
  <c r="E149" i="3"/>
  <c r="F149" i="3"/>
  <c r="G149" i="3"/>
  <c r="H149" i="3"/>
  <c r="H159" i="3" s="1"/>
  <c r="I149" i="3"/>
  <c r="I159" i="3" s="1"/>
  <c r="B149" i="3"/>
  <c r="C145" i="3"/>
  <c r="D145" i="3"/>
  <c r="E145" i="3"/>
  <c r="F145" i="3"/>
  <c r="F157" i="3" s="1"/>
  <c r="G145" i="3"/>
  <c r="H145" i="3"/>
  <c r="I145" i="3"/>
  <c r="B145" i="3"/>
  <c r="B146" i="3" s="1"/>
  <c r="B138" i="3"/>
  <c r="B139" i="3" s="1"/>
  <c r="B131" i="3"/>
  <c r="D131" i="3"/>
  <c r="D134" i="3" s="1"/>
  <c r="E131" i="3"/>
  <c r="E134" i="3" s="1"/>
  <c r="F131" i="3"/>
  <c r="F134" i="3" s="1"/>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D116" i="3"/>
  <c r="C100" i="3"/>
  <c r="C103" i="3" s="1"/>
  <c r="D100" i="3"/>
  <c r="D103" i="3" s="1"/>
  <c r="E100" i="3"/>
  <c r="F100" i="3"/>
  <c r="G100" i="3"/>
  <c r="H100" i="3"/>
  <c r="I100" i="3"/>
  <c r="B100" i="3"/>
  <c r="B103" i="3" s="1"/>
  <c r="C107" i="3"/>
  <c r="D107" i="3"/>
  <c r="E107" i="3"/>
  <c r="F107" i="3"/>
  <c r="G107" i="3"/>
  <c r="H107" i="3"/>
  <c r="I107" i="3"/>
  <c r="B107" i="3"/>
  <c r="C104" i="3"/>
  <c r="D104" i="3"/>
  <c r="D97" i="3" s="1"/>
  <c r="E104" i="3"/>
  <c r="F104" i="3"/>
  <c r="G104" i="3"/>
  <c r="H104" i="3"/>
  <c r="I104" i="3"/>
  <c r="B104" i="3"/>
  <c r="B97" i="3" s="1"/>
  <c r="B76" i="3"/>
  <c r="B77" i="3" s="1"/>
  <c r="D76" i="3"/>
  <c r="E76" i="3"/>
  <c r="F76" i="3"/>
  <c r="G76" i="3"/>
  <c r="H76" i="3"/>
  <c r="I76" i="3"/>
  <c r="C76" i="3"/>
  <c r="B69" i="3"/>
  <c r="D69" i="3"/>
  <c r="E69" i="3"/>
  <c r="F69" i="3"/>
  <c r="G69" i="3"/>
  <c r="G72" i="3" s="1"/>
  <c r="H69" i="3"/>
  <c r="H72" i="3" s="1"/>
  <c r="I69" i="3"/>
  <c r="C69" i="3"/>
  <c r="B73" i="3"/>
  <c r="B66" i="3" s="1"/>
  <c r="D73" i="3"/>
  <c r="E73" i="3"/>
  <c r="F73" i="3"/>
  <c r="G73" i="3"/>
  <c r="H73" i="3"/>
  <c r="H66" i="3" s="1"/>
  <c r="I73" i="3"/>
  <c r="C73" i="3"/>
  <c r="C93" i="3"/>
  <c r="D93" i="3"/>
  <c r="E93" i="3"/>
  <c r="F93" i="3"/>
  <c r="G93" i="3"/>
  <c r="H93" i="3"/>
  <c r="I93" i="3"/>
  <c r="B93" i="3"/>
  <c r="B94" i="3" s="1"/>
  <c r="C89" i="3"/>
  <c r="D89" i="3"/>
  <c r="E89" i="3"/>
  <c r="F89" i="3"/>
  <c r="G89" i="3"/>
  <c r="H89" i="3"/>
  <c r="I89" i="3"/>
  <c r="B89" i="3"/>
  <c r="B90" i="3" s="1"/>
  <c r="B92" i="3" s="1"/>
  <c r="C85" i="3"/>
  <c r="D85" i="3"/>
  <c r="E85" i="3"/>
  <c r="F85" i="3"/>
  <c r="G85" i="3"/>
  <c r="H85" i="3"/>
  <c r="I85" i="3"/>
  <c r="J85" i="3" s="1"/>
  <c r="B85" i="3"/>
  <c r="B86" i="3" s="1"/>
  <c r="B88" i="3" s="1"/>
  <c r="C62" i="3"/>
  <c r="B62" i="3"/>
  <c r="B63" i="3" s="1"/>
  <c r="E62" i="3"/>
  <c r="F62" i="3"/>
  <c r="G62" i="3"/>
  <c r="H62" i="3"/>
  <c r="I62" i="3"/>
  <c r="D62" i="3"/>
  <c r="C58" i="3"/>
  <c r="B58" i="3"/>
  <c r="B59" i="3" s="1"/>
  <c r="E58" i="3"/>
  <c r="F58" i="3"/>
  <c r="G58" i="3"/>
  <c r="H58" i="3"/>
  <c r="I58" i="3"/>
  <c r="D58" i="3"/>
  <c r="C54" i="3"/>
  <c r="B54" i="3"/>
  <c r="E54" i="3"/>
  <c r="F54" i="3"/>
  <c r="G54" i="3"/>
  <c r="H54" i="3"/>
  <c r="I54" i="3"/>
  <c r="J52" i="3" s="1"/>
  <c r="D54" i="3"/>
  <c r="G178" i="3"/>
  <c r="H201" i="3"/>
  <c r="E97" i="3"/>
  <c r="I103" i="3" l="1"/>
  <c r="J103" i="3" s="1"/>
  <c r="J100" i="3"/>
  <c r="K100" i="3" s="1"/>
  <c r="L100" i="3" s="1"/>
  <c r="M100" i="3" s="1"/>
  <c r="N100" i="3" s="1"/>
  <c r="G103" i="3"/>
  <c r="G159" i="3"/>
  <c r="G179" i="3"/>
  <c r="J62" i="3"/>
  <c r="K62" i="3" s="1"/>
  <c r="I72" i="3"/>
  <c r="J72" i="3" s="1"/>
  <c r="J69" i="3"/>
  <c r="K69" i="3" s="1"/>
  <c r="L69" i="3" s="1"/>
  <c r="M69" i="3" s="1"/>
  <c r="N69" i="3" s="1"/>
  <c r="E103" i="3"/>
  <c r="J116" i="3"/>
  <c r="J114" i="3" s="1"/>
  <c r="E159" i="3"/>
  <c r="E160" i="3" s="1"/>
  <c r="I158" i="3"/>
  <c r="J158" i="3" s="1"/>
  <c r="K158" i="3" s="1"/>
  <c r="E179" i="3"/>
  <c r="H193" i="3"/>
  <c r="J166" i="3"/>
  <c r="K166" i="3" s="1"/>
  <c r="L166" i="3" s="1"/>
  <c r="M166" i="3" s="1"/>
  <c r="N166" i="3" s="1"/>
  <c r="H103" i="3"/>
  <c r="B134" i="3"/>
  <c r="C97" i="3"/>
  <c r="D98" i="3" s="1"/>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H98" i="3" s="1"/>
  <c r="G180" i="3"/>
  <c r="F72" i="3"/>
  <c r="B96" i="3"/>
  <c r="F97" i="3"/>
  <c r="B159" i="3"/>
  <c r="B160" i="3" s="1"/>
  <c r="I184" i="3"/>
  <c r="J145" i="3"/>
  <c r="K145" i="3" s="1"/>
  <c r="J187" i="3"/>
  <c r="N71" i="6"/>
  <c r="N10" i="6" s="1"/>
  <c r="M10" i="6"/>
  <c r="N40" i="6"/>
  <c r="N39" i="6" s="1"/>
  <c r="N43" i="6" s="1"/>
  <c r="M39" i="6"/>
  <c r="M43" i="6" s="1"/>
  <c r="K187" i="3"/>
  <c r="L187" i="3" s="1"/>
  <c r="M187" i="3" s="1"/>
  <c r="N187"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K179" i="3"/>
  <c r="G134" i="3"/>
  <c r="D185" i="3"/>
  <c r="C72" i="3"/>
  <c r="F163" i="3"/>
  <c r="F184" i="3"/>
  <c r="K103" i="3"/>
  <c r="H185" i="3"/>
  <c r="G184" i="3"/>
  <c r="C184" i="3"/>
  <c r="K85" i="3"/>
  <c r="K72"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61"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I55" i="3"/>
  <c r="I57" i="3" s="1"/>
  <c r="I59" i="3"/>
  <c r="I61" i="3" s="1"/>
  <c r="I63" i="3"/>
  <c r="I65" i="3" s="1"/>
  <c r="H70" i="3"/>
  <c r="B101" i="3"/>
  <c r="C70" i="3"/>
  <c r="F105" i="3"/>
  <c r="B105" i="3"/>
  <c r="D74" i="3"/>
  <c r="F98" i="3"/>
  <c r="E55" i="3"/>
  <c r="E57" i="3" s="1"/>
  <c r="E59" i="3"/>
  <c r="E61" i="3" s="1"/>
  <c r="E63" i="3"/>
  <c r="E65" i="3" s="1"/>
  <c r="F101" i="3"/>
  <c r="D70" i="3"/>
  <c r="G77" i="3"/>
  <c r="F108" i="3"/>
  <c r="B108" i="3"/>
  <c r="D161" i="3"/>
  <c r="D160" i="3"/>
  <c r="H161" i="3"/>
  <c r="H160" i="3"/>
  <c r="H74" i="3"/>
  <c r="D77" i="3"/>
  <c r="C86" i="3"/>
  <c r="C88" i="3" s="1"/>
  <c r="G90" i="3"/>
  <c r="G92" i="3" s="1"/>
  <c r="C94" i="3"/>
  <c r="C96" i="3" s="1"/>
  <c r="I161" i="3"/>
  <c r="J161" i="3" s="1"/>
  <c r="K161" i="3" s="1"/>
  <c r="L161" i="3" s="1"/>
  <c r="M161" i="3" s="1"/>
  <c r="N161" i="3" s="1"/>
  <c r="I160" i="3"/>
  <c r="E70" i="3"/>
  <c r="I70" i="3"/>
  <c r="E74" i="3"/>
  <c r="I74" i="3"/>
  <c r="I77" i="3"/>
  <c r="E77" i="3"/>
  <c r="B150" i="3"/>
  <c r="H77" i="3"/>
  <c r="G86" i="3"/>
  <c r="G88" i="3" s="1"/>
  <c r="C90" i="3"/>
  <c r="C92" i="3" s="1"/>
  <c r="G94" i="3"/>
  <c r="G96" i="3" s="1"/>
  <c r="B67" i="3"/>
  <c r="B70" i="3"/>
  <c r="F70" i="3"/>
  <c r="B74" i="3"/>
  <c r="F74" i="3"/>
  <c r="C117" i="3"/>
  <c r="C119" i="3" s="1"/>
  <c r="G117" i="3"/>
  <c r="G119" i="3" s="1"/>
  <c r="C121" i="3"/>
  <c r="C123" i="3" s="1"/>
  <c r="G121" i="3"/>
  <c r="G123" i="3" s="1"/>
  <c r="C125" i="3"/>
  <c r="C127" i="3" s="1"/>
  <c r="G125" i="3"/>
  <c r="G127" i="3" s="1"/>
  <c r="C146" i="3"/>
  <c r="C148" i="3" s="1"/>
  <c r="G146" i="3"/>
  <c r="G148" i="3" s="1"/>
  <c r="C161" i="3"/>
  <c r="G161" i="3"/>
  <c r="F150" i="3"/>
  <c r="C98" i="3"/>
  <c r="G98"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C160" i="3" l="1"/>
  <c r="J83" i="3"/>
  <c r="J183" i="3"/>
  <c r="J184" i="3" s="1"/>
  <c r="J66" i="3"/>
  <c r="E161" i="3"/>
  <c r="K116" i="3"/>
  <c r="K114" i="3" s="1"/>
  <c r="J97" i="3"/>
  <c r="J128" i="3"/>
  <c r="K52" i="3"/>
  <c r="K53" i="3" s="1"/>
  <c r="K206" i="3"/>
  <c r="L179" i="3"/>
  <c r="K173" i="3"/>
  <c r="J176" i="3"/>
  <c r="J177" i="3" s="1"/>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L116" i="3" l="1"/>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28" i="3"/>
  <c r="K135" i="3"/>
  <c r="N104" i="3"/>
  <c r="N97" i="3"/>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L11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129" i="3"/>
  <c r="N70" i="3"/>
  <c r="M101" i="3"/>
  <c r="L70" i="3"/>
  <c r="M74" i="3"/>
  <c r="M70" i="3"/>
  <c r="M75" i="3"/>
  <c r="K74" i="3"/>
  <c r="K75" i="3"/>
  <c r="N67" i="3" l="1"/>
  <c r="L171" i="3"/>
  <c r="L172" i="3"/>
  <c r="N156" i="3"/>
  <c r="N157" i="3"/>
  <c r="N132" i="3"/>
  <c r="M181" i="3"/>
  <c r="M170" i="3"/>
  <c r="N170" i="3"/>
  <c r="N181" i="3"/>
  <c r="N149" i="3"/>
  <c r="N150" i="3" s="1"/>
  <c r="M136" i="3"/>
  <c r="N75" i="3"/>
  <c r="M105" i="3"/>
  <c r="N101" i="3"/>
  <c r="L74" i="3"/>
  <c r="L75" i="3"/>
  <c r="K61" i="6" l="1"/>
  <c r="K65" i="6"/>
  <c r="N171" i="3"/>
  <c r="N172" i="3"/>
  <c r="M171" i="3"/>
  <c r="M172" i="3"/>
  <c r="N136" i="3"/>
  <c r="N105" i="3"/>
  <c r="N74" i="3"/>
  <c r="L61" i="6" l="1"/>
  <c r="L65" i="6"/>
  <c r="F147" i="1"/>
  <c r="G147" i="1"/>
  <c r="C142" i="1"/>
  <c r="B142" i="1"/>
  <c r="C138" i="1"/>
  <c r="C114" i="3" s="1"/>
  <c r="B138" i="1"/>
  <c r="B114" i="3" s="1"/>
  <c r="C134" i="1"/>
  <c r="B134" i="1"/>
  <c r="C130" i="1"/>
  <c r="C52" i="3" s="1"/>
  <c r="B130" i="1"/>
  <c r="B52" i="3" s="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C147" i="1" s="1"/>
  <c r="B118" i="1"/>
  <c r="I114" i="1"/>
  <c r="I147" i="1" s="1"/>
  <c r="H114" i="1"/>
  <c r="H147" i="1" s="1"/>
  <c r="G114" i="1"/>
  <c r="F114" i="1"/>
  <c r="E114" i="1"/>
  <c r="D114" i="1"/>
  <c r="C114" i="1"/>
  <c r="B114" i="1"/>
  <c r="B147" i="1" s="1"/>
  <c r="B86" i="1"/>
  <c r="C86" i="1"/>
  <c r="D86" i="1"/>
  <c r="E86" i="1"/>
  <c r="F86" i="1"/>
  <c r="G86" i="1"/>
  <c r="H86" i="1"/>
  <c r="I86" i="1"/>
  <c r="I7" i="1"/>
  <c r="H7" i="1"/>
  <c r="G7" i="1"/>
  <c r="F7" i="1"/>
  <c r="E7" i="1"/>
  <c r="D7" i="1"/>
  <c r="C7" i="1"/>
  <c r="B7" i="1"/>
  <c r="I4" i="1"/>
  <c r="I10" i="1" s="1"/>
  <c r="H4" i="1"/>
  <c r="G4" i="1"/>
  <c r="F4" i="1"/>
  <c r="E4" i="1"/>
  <c r="D4" i="1"/>
  <c r="C4" i="1"/>
  <c r="B4" i="1"/>
  <c r="I12" i="1" l="1"/>
  <c r="I11" i="6"/>
  <c r="I14" i="6" s="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M61" i="6"/>
  <c r="M65" i="6"/>
  <c r="A165" i="3"/>
  <c r="F12" i="1" l="1"/>
  <c r="F19" i="6" s="1"/>
  <c r="F11" i="6"/>
  <c r="F14" i="6" s="1"/>
  <c r="K78" i="3"/>
  <c r="J76" i="3"/>
  <c r="J77" i="3" s="1"/>
  <c r="K140" i="3"/>
  <c r="J138" i="3"/>
  <c r="J139" i="3" s="1"/>
  <c r="G12" i="1"/>
  <c r="G19" i="6" s="1"/>
  <c r="G11" i="6"/>
  <c r="G14" i="6" s="1"/>
  <c r="C12" i="1"/>
  <c r="C19" i="6" s="1"/>
  <c r="C11" i="6"/>
  <c r="C14" i="6" s="1"/>
  <c r="H12" i="1"/>
  <c r="H11" i="6"/>
  <c r="H14" i="6" s="1"/>
  <c r="K109" i="3"/>
  <c r="J107" i="3"/>
  <c r="J108" i="3" s="1"/>
  <c r="K112" i="3"/>
  <c r="J110" i="3"/>
  <c r="J111" i="3" s="1"/>
  <c r="E12" i="1"/>
  <c r="E19" i="6" s="1"/>
  <c r="E11" i="6"/>
  <c r="E14" i="6" s="1"/>
  <c r="D12" i="1"/>
  <c r="D19" i="6" s="1"/>
  <c r="D11" i="6"/>
  <c r="D14" i="6" s="1"/>
  <c r="B12" i="1"/>
  <c r="B19" i="6" s="1"/>
  <c r="B11" i="6"/>
  <c r="B14" i="6" s="1"/>
  <c r="K81" i="3"/>
  <c r="J79" i="3"/>
  <c r="J80" i="3" s="1"/>
  <c r="K143" i="3"/>
  <c r="J141" i="3"/>
  <c r="J142" i="3" s="1"/>
  <c r="I64" i="1"/>
  <c r="I19" i="6"/>
  <c r="N61" i="6"/>
  <c r="N65" i="6"/>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H19" i="6"/>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F14" i="3"/>
  <c r="F53" i="6" s="1"/>
  <c r="F59" i="6" s="1"/>
  <c r="G14" i="3"/>
  <c r="G53" i="6" s="1"/>
  <c r="G59" i="6"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F196" i="1"/>
  <c r="F198" i="1" s="1"/>
  <c r="F194" i="3"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N139" i="3" s="1"/>
  <c r="M138" i="3"/>
  <c r="M139" i="3" s="1"/>
  <c r="E6" i="6"/>
  <c r="E7" i="6" s="1"/>
  <c r="E47" i="6"/>
  <c r="I14" i="3"/>
  <c r="N143" i="3"/>
  <c r="N141" i="3" s="1"/>
  <c r="M141" i="3"/>
  <c r="M142" i="3" s="1"/>
  <c r="F11" i="3"/>
  <c r="F6" i="3"/>
  <c r="H9" i="3"/>
  <c r="I9" i="3"/>
  <c r="G9" i="3"/>
  <c r="F9" i="3"/>
  <c r="E11" i="3"/>
  <c r="E6" i="3"/>
  <c r="H11" i="3"/>
  <c r="H6" i="3"/>
  <c r="D11" i="3"/>
  <c r="D6" i="3"/>
  <c r="I11" i="3"/>
  <c r="I6" i="3"/>
  <c r="D9" i="3"/>
  <c r="C9" i="3"/>
  <c r="B9" i="3"/>
  <c r="E9" i="3"/>
  <c r="G11" i="3"/>
  <c r="G6" i="3"/>
  <c r="C11" i="3"/>
  <c r="B36" i="3"/>
  <c r="B5" i="3"/>
  <c r="B5" i="6" s="1"/>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I7" i="6" l="1"/>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E9" i="6" l="1"/>
  <c r="D54" i="6"/>
  <c r="E54" i="6"/>
  <c r="D24" i="6"/>
  <c r="D4" i="6"/>
  <c r="H24" i="6"/>
  <c r="H4" i="6"/>
  <c r="G9" i="6"/>
  <c r="G24" i="6"/>
  <c r="G4" i="6"/>
  <c r="C24" i="6"/>
  <c r="D9" i="6"/>
  <c r="B54" i="6"/>
  <c r="L35" i="3"/>
  <c r="K42" i="3"/>
  <c r="K43" i="3" s="1"/>
  <c r="B8" i="6"/>
  <c r="I4" i="6"/>
  <c r="I24" i="6"/>
  <c r="J24" i="6" s="1"/>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G59" i="1" s="1"/>
  <c r="F45" i="1"/>
  <c r="E45" i="1"/>
  <c r="D45" i="1"/>
  <c r="C45" i="1"/>
  <c r="B45" i="1"/>
  <c r="I45" i="1"/>
  <c r="H30" i="1"/>
  <c r="H36" i="1" s="1"/>
  <c r="G30" i="1"/>
  <c r="G36" i="1" s="1"/>
  <c r="F30" i="1"/>
  <c r="F36" i="1" s="1"/>
  <c r="E30" i="1"/>
  <c r="E36" i="1" s="1"/>
  <c r="D30" i="1"/>
  <c r="D36" i="1" s="1"/>
  <c r="C30" i="1"/>
  <c r="C36" i="1" s="1"/>
  <c r="B30" i="1"/>
  <c r="B36" i="1" s="1"/>
  <c r="I30" i="1"/>
  <c r="I36" i="1" s="1"/>
  <c r="B59" i="1" l="1"/>
  <c r="N21" i="3"/>
  <c r="C59" i="1"/>
  <c r="B70" i="6"/>
  <c r="C68" i="6"/>
  <c r="M35" i="3"/>
  <c r="L42" i="3"/>
  <c r="L43" i="3" s="1"/>
  <c r="C69" i="6"/>
  <c r="D59" i="1"/>
  <c r="D60" i="1" s="1"/>
  <c r="E59" i="1"/>
  <c r="E60" i="1" s="1"/>
  <c r="K24" i="6"/>
  <c r="L24" i="6" s="1"/>
  <c r="M24" i="6" s="1"/>
  <c r="N24" i="6" s="1"/>
  <c r="J23" i="6"/>
  <c r="F59" i="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F60" i="1"/>
  <c r="I59" i="1"/>
  <c r="I60" i="1" s="1"/>
  <c r="G60" i="1"/>
  <c r="H60" i="1"/>
  <c r="C60" i="1"/>
  <c r="K23" i="6" l="1"/>
  <c r="C70" i="6"/>
  <c r="D68" i="6"/>
  <c r="D69" i="6" s="1"/>
  <c r="H101" i="1"/>
  <c r="H103" i="1" s="1"/>
  <c r="H104" i="1" s="1"/>
  <c r="H55" i="6"/>
  <c r="H56" i="6" s="1"/>
  <c r="H67" i="6" s="1"/>
  <c r="N35" i="3"/>
  <c r="N42" i="3" s="1"/>
  <c r="N43" i="3" s="1"/>
  <c r="M42" i="3"/>
  <c r="M43" i="3" s="1"/>
  <c r="G103" i="1"/>
  <c r="F103" i="1"/>
  <c r="E103" i="1"/>
  <c r="K36" i="3"/>
  <c r="M47" i="3"/>
  <c r="L45" i="3"/>
  <c r="L46" i="3" s="1"/>
  <c r="J44" i="3"/>
  <c r="M49" i="3"/>
  <c r="N50" i="3"/>
  <c r="M37" i="3"/>
  <c r="I76" i="1"/>
  <c r="G20" i="1"/>
  <c r="G170" i="1"/>
  <c r="I101" i="1" l="1"/>
  <c r="I55" i="6"/>
  <c r="D70" i="6"/>
  <c r="E68" i="6"/>
  <c r="E69" i="6" s="1"/>
  <c r="L23" i="6"/>
  <c r="F104" i="1"/>
  <c r="I102" i="1"/>
  <c r="G104" i="1"/>
  <c r="E104" i="1"/>
  <c r="K44" i="3"/>
  <c r="I103" i="1"/>
  <c r="I104" i="1" s="1"/>
  <c r="N47" i="3"/>
  <c r="M45" i="3"/>
  <c r="M46" i="3" s="1"/>
  <c r="L36" i="3"/>
  <c r="N49" i="3"/>
  <c r="N48" i="3"/>
  <c r="N37" i="3"/>
  <c r="H1" i="1"/>
  <c r="G1" i="1" s="1"/>
  <c r="F1" i="1" s="1"/>
  <c r="E1" i="1" s="1"/>
  <c r="D1" i="1" s="1"/>
  <c r="C1" i="1" s="1"/>
  <c r="B1" i="1" s="1"/>
  <c r="F68" i="6" l="1"/>
  <c r="F69" i="6" s="1"/>
  <c r="E70" i="6"/>
  <c r="M23" i="6"/>
  <c r="I56" i="6"/>
  <c r="I67" i="6" s="1"/>
  <c r="L44" i="3"/>
  <c r="M36" i="3"/>
  <c r="N45" i="3"/>
  <c r="N46" i="3" s="1"/>
  <c r="N36" i="3"/>
  <c r="N23" i="6" l="1"/>
  <c r="F70" i="6"/>
  <c r="G68" i="6"/>
  <c r="G69" i="6" s="1"/>
  <c r="N44" i="3"/>
  <c r="M44" i="3"/>
  <c r="M39" i="3"/>
  <c r="N39" i="3"/>
  <c r="M40" i="3"/>
  <c r="N40" i="3"/>
  <c r="K40" i="3"/>
  <c r="L39" i="3"/>
  <c r="L40" i="3"/>
  <c r="H68" i="6" l="1"/>
  <c r="H69" i="6" s="1"/>
  <c r="G70" i="6"/>
  <c r="B196" i="3"/>
  <c r="B206" i="3"/>
  <c r="B199" i="3"/>
  <c r="B203" i="3"/>
  <c r="B193" i="3"/>
  <c r="C188" i="3"/>
  <c r="C190" i="3" s="1"/>
  <c r="B3" i="3"/>
  <c r="B188" i="3"/>
  <c r="B190" i="3" s="1"/>
  <c r="B10" i="3" l="1"/>
  <c r="B3" i="6"/>
  <c r="I68" i="6"/>
  <c r="I69" i="6" s="1"/>
  <c r="H70" i="6"/>
  <c r="C4" i="3"/>
  <c r="B7" i="3"/>
  <c r="B16" i="3"/>
  <c r="B4" i="3"/>
  <c r="B13" i="3"/>
  <c r="B19" i="3"/>
  <c r="J3" i="3"/>
  <c r="J3" i="6" s="1"/>
  <c r="K3" i="3"/>
  <c r="K3" i="6" s="1"/>
  <c r="K194" i="3"/>
  <c r="L3" i="3"/>
  <c r="L3" i="6" s="1"/>
  <c r="J194" i="3"/>
  <c r="J14" i="3" s="1"/>
  <c r="J53" i="6" s="1"/>
  <c r="J201" i="3"/>
  <c r="J5" i="3" s="1"/>
  <c r="J5" i="6" s="1"/>
  <c r="J204" i="3"/>
  <c r="K204" i="3"/>
  <c r="J205" i="3"/>
  <c r="J68" i="6" l="1"/>
  <c r="I70" i="6"/>
  <c r="J59" i="6"/>
  <c r="B4" i="6"/>
  <c r="B24" i="6"/>
  <c r="B9" i="6"/>
  <c r="C4" i="6"/>
  <c r="K205" i="3"/>
  <c r="K17" i="3"/>
  <c r="J197" i="3"/>
  <c r="J198" i="3" s="1"/>
  <c r="J17" i="3"/>
  <c r="J18" i="3" s="1"/>
  <c r="K4" i="3"/>
  <c r="J4" i="3"/>
  <c r="L4" i="3"/>
  <c r="J15" i="3"/>
  <c r="J16" i="3"/>
  <c r="K195" i="3"/>
  <c r="K14" i="3"/>
  <c r="K53" i="6" s="1"/>
  <c r="K59" i="6" s="1"/>
  <c r="J6" i="3"/>
  <c r="J7" i="3"/>
  <c r="K197" i="3"/>
  <c r="J202" i="3"/>
  <c r="K201" i="3"/>
  <c r="J195" i="3"/>
  <c r="L201" i="3"/>
  <c r="L194" i="3"/>
  <c r="L204" i="3"/>
  <c r="L17" i="3" s="1"/>
  <c r="J191" i="3" l="1"/>
  <c r="J192" i="3" s="1"/>
  <c r="K18" i="3"/>
  <c r="K191" i="3"/>
  <c r="K192" i="3" s="1"/>
  <c r="K5" i="3"/>
  <c r="K5" i="6" s="1"/>
  <c r="K202" i="3"/>
  <c r="L197" i="3"/>
  <c r="L191" i="3" s="1"/>
  <c r="L192" i="3" s="1"/>
  <c r="L205" i="3"/>
  <c r="L14" i="3"/>
  <c r="L53" i="6" s="1"/>
  <c r="L59" i="6" s="1"/>
  <c r="L195" i="3"/>
  <c r="L5" i="3"/>
  <c r="L5" i="6" s="1"/>
  <c r="L202" i="3"/>
  <c r="M201" i="3"/>
  <c r="M3" i="3"/>
  <c r="M3" i="6" s="1"/>
  <c r="M204" i="3"/>
  <c r="M17" i="3" s="1"/>
  <c r="M194" i="3"/>
  <c r="K8" i="3"/>
  <c r="K198" i="3"/>
  <c r="K16" i="3"/>
  <c r="K15" i="3"/>
  <c r="L18" i="3"/>
  <c r="K6" i="6" l="1"/>
  <c r="K47" i="6"/>
  <c r="M14" i="3"/>
  <c r="M53" i="6" s="1"/>
  <c r="M59" i="6" s="1"/>
  <c r="M195" i="3"/>
  <c r="M202" i="3"/>
  <c r="M5" i="3"/>
  <c r="M5" i="6" s="1"/>
  <c r="M205" i="3"/>
  <c r="M197" i="3"/>
  <c r="L15" i="3"/>
  <c r="L16" i="3"/>
  <c r="N194" i="3"/>
  <c r="N201" i="3"/>
  <c r="N3" i="3"/>
  <c r="N3" i="6" s="1"/>
  <c r="N204" i="3"/>
  <c r="N17" i="3" s="1"/>
  <c r="L7" i="3"/>
  <c r="L6" i="3"/>
  <c r="L8" i="3"/>
  <c r="L198" i="3"/>
  <c r="K7" i="3"/>
  <c r="K11" i="3"/>
  <c r="K6" i="3"/>
  <c r="K10" i="3"/>
  <c r="M4" i="3"/>
  <c r="M18" i="3"/>
  <c r="K46" i="6" l="1"/>
  <c r="K7" i="6"/>
  <c r="K11" i="6" s="1"/>
  <c r="K14" i="6" s="1"/>
  <c r="K19" i="6" s="1"/>
  <c r="L11" i="3"/>
  <c r="L6" i="6"/>
  <c r="L47" i="6"/>
  <c r="L46" i="6"/>
  <c r="L7" i="6"/>
  <c r="L11" i="6" s="1"/>
  <c r="L14" i="6" s="1"/>
  <c r="L19" i="6" s="1"/>
  <c r="K13" i="3"/>
  <c r="M6" i="3"/>
  <c r="M7" i="3"/>
  <c r="L12" i="3"/>
  <c r="L13" i="3"/>
  <c r="N14" i="3"/>
  <c r="N53" i="6" s="1"/>
  <c r="N59" i="6" s="1"/>
  <c r="N195" i="3"/>
  <c r="N18" i="3"/>
  <c r="N4" i="3"/>
  <c r="N5" i="3"/>
  <c r="N5" i="6" s="1"/>
  <c r="N202" i="3"/>
  <c r="M8" i="3"/>
  <c r="M198" i="3"/>
  <c r="L10" i="3"/>
  <c r="L9" i="3"/>
  <c r="N197" i="3"/>
  <c r="N191" i="3" s="1"/>
  <c r="N205" i="3"/>
  <c r="M191" i="3"/>
  <c r="M192" i="3" s="1"/>
  <c r="M16" i="3"/>
  <c r="M15" i="3"/>
  <c r="M11" i="3" l="1"/>
  <c r="M12" i="3" s="1"/>
  <c r="M6" i="6"/>
  <c r="M47" i="6"/>
  <c r="K49" i="6"/>
  <c r="K54" i="6" s="1"/>
  <c r="K56" i="6"/>
  <c r="K67" i="6" s="1"/>
  <c r="M46" i="6"/>
  <c r="M7" i="6"/>
  <c r="M11" i="6" s="1"/>
  <c r="M14" i="6" s="1"/>
  <c r="M19" i="6" s="1"/>
  <c r="L49" i="6"/>
  <c r="L54" i="6" s="1"/>
  <c r="L56" i="6"/>
  <c r="L67" i="6" s="1"/>
  <c r="N192" i="3"/>
  <c r="N6" i="3"/>
  <c r="N7" i="3"/>
  <c r="N15" i="3"/>
  <c r="N16" i="3"/>
  <c r="N8" i="3"/>
  <c r="N198" i="3"/>
  <c r="M10" i="3"/>
  <c r="M9" i="3"/>
  <c r="N11" i="3" l="1"/>
  <c r="N6" i="6"/>
  <c r="N47" i="6"/>
  <c r="M13" i="3"/>
  <c r="N46" i="6"/>
  <c r="N7" i="6"/>
  <c r="N11" i="6" s="1"/>
  <c r="N14" i="6" s="1"/>
  <c r="N19" i="6" s="1"/>
  <c r="M49" i="6"/>
  <c r="M54" i="6" s="1"/>
  <c r="M56" i="6"/>
  <c r="M67" i="6" s="1"/>
  <c r="N13" i="3"/>
  <c r="N12" i="3"/>
  <c r="N9" i="3"/>
  <c r="N10" i="3"/>
  <c r="N49" i="6" l="1"/>
  <c r="N54" i="6" s="1"/>
  <c r="N56" i="6"/>
  <c r="N67" i="6" s="1"/>
  <c r="J39" i="3"/>
  <c r="K39" i="3"/>
  <c r="J40" i="3"/>
  <c r="J8" i="3"/>
  <c r="K9" i="3" l="1"/>
  <c r="J6" i="6"/>
  <c r="J47" i="6"/>
  <c r="J26" i="6" s="1"/>
  <c r="K26" i="6" s="1"/>
  <c r="L26" i="6" s="1"/>
  <c r="M26" i="6" s="1"/>
  <c r="N26" i="6" s="1"/>
  <c r="J11" i="3"/>
  <c r="J9" i="3"/>
  <c r="J10" i="3"/>
  <c r="J46" i="6" l="1"/>
  <c r="J7" i="6"/>
  <c r="J11" i="6" s="1"/>
  <c r="J14" i="6" s="1"/>
  <c r="J19" i="6" s="1"/>
  <c r="J17" i="6" s="1"/>
  <c r="K17" i="6" s="1"/>
  <c r="L17" i="6" s="1"/>
  <c r="M17" i="6" s="1"/>
  <c r="N17" i="6" s="1"/>
  <c r="J12" i="3"/>
  <c r="K12" i="3"/>
  <c r="J13" i="3"/>
  <c r="J49" i="6" l="1"/>
  <c r="J54" i="6" s="1"/>
  <c r="J56" i="6"/>
  <c r="J67" i="6" s="1"/>
  <c r="J69" i="6" s="1"/>
  <c r="K68" i="6" l="1"/>
  <c r="K69" i="6" s="1"/>
  <c r="J21" i="6"/>
  <c r="J31" i="6" s="1"/>
  <c r="J44" i="6" s="1"/>
  <c r="J70" i="6" l="1"/>
  <c r="L68" i="6"/>
  <c r="L69" i="6" s="1"/>
  <c r="K21" i="6"/>
  <c r="K31" i="6" s="1"/>
  <c r="K44" i="6" s="1"/>
  <c r="K70" i="6" l="1"/>
  <c r="M68" i="6"/>
  <c r="M69" i="6" s="1"/>
  <c r="L21" i="6"/>
  <c r="L31" i="6" s="1"/>
  <c r="L44" i="6" s="1"/>
  <c r="L70" i="6"/>
  <c r="N68" i="6" l="1"/>
  <c r="N69" i="6" s="1"/>
  <c r="M21" i="6"/>
  <c r="M31" i="6" s="1"/>
  <c r="M44" i="6" s="1"/>
  <c r="M70" i="6" l="1"/>
  <c r="N21" i="6"/>
  <c r="N31" i="6" s="1"/>
  <c r="N44" i="6" s="1"/>
  <c r="N70" i="6"/>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<sst xmlns="http://schemas.openxmlformats.org/spreadsheetml/2006/main" count="575" uniqueCount="249">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</sst>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4" tint="-0.499984740745262"/>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165" fontId="0" fillId="0" borderId="0" xfId="1" applyNumberFormat="1" applyFont="1"/>
    <xf numFmtId="165" fontId="2" fillId="0" borderId="0" xfId="1" applyNumberFormat="1" applyFont="1"/>
    <xf numFmtId="165" fontId="2" fillId="0" borderId="0" xfId="0" applyNumberFormat="1" applyFont="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0" fillId="8" borderId="0" xfId="0" applyFill="1"/>
    <xf numFmtId="165" fontId="0" fillId="8" borderId="0" xfId="1" applyNumberFormat="1" applyFont="1" applyFill="1"/>
    <xf numFmtId="43" fontId="0" fillId="8" borderId="0" xfId="1" applyNumberFormat="1" applyFont="1" applyFill="1"/>
    <xf numFmtId="9" fontId="11" fillId="0" borderId="0" xfId="2" applyFont="1" applyFill="1"/>
    <xf numFmtId="0" fontId="18" fillId="0" borderId="0" xfId="0" applyFont="1" applyFill="1" applyAlignment="1">
      <alignment horizontal="center"/>
    </xf>
    <xf numFmtId="170" fontId="0" fillId="0" borderId="0" xfId="1" applyNumberFormat="1" applyFont="1" applyFill="1" applyBorder="1"/>
    <xf numFmtId="0" fontId="11" fillId="0" borderId="0" xfId="0" applyFont="1" applyFill="1"/>
    <xf numFmtId="170" fontId="11" fillId="0" borderId="0" xfId="1" applyNumberFormat="1" applyFont="1" applyFill="1"/>
    <xf numFmtId="165" fontId="11" fillId="0" borderId="0" xfId="1" applyNumberFormat="1" applyFont="1" applyFill="1"/>
    <xf numFmtId="9" fontId="0" fillId="0" borderId="0" xfId="2" applyNumberFormat="1" applyFont="1" applyFill="1"/>
    <xf numFmtId="0" fontId="0" fillId="8" borderId="0" xfId="1" applyNumberFormat="1" applyFont="1" applyFill="1" applyAlignment="1">
      <alignment wrapText="1"/>
    </xf>
    <xf numFmtId="0" fontId="0" fillId="8" borderId="0" xfId="0" applyFill="1" applyAlignment="1">
      <alignment horizontal="left" indent="1"/>
    </xf>
    <xf numFmtId="0" fontId="4" fillId="10" borderId="0" xfId="0" applyFont="1" applyFill="1" applyAlignment="1">
      <alignment vertical="center" wrapText="1"/>
    </xf>
    <xf numFmtId="0" fontId="6" fillId="10" borderId="0" xfId="0" applyFont="1" applyFill="1" applyAlignment="1">
      <alignment horizontal="right"/>
    </xf>
    <xf numFmtId="165" fontId="6" fillId="9" borderId="0" xfId="4" applyNumberFormat="1" applyFont="1" applyFill="1" applyBorder="1" applyAlignment="1">
      <alignment horizontal="left"/>
    </xf>
    <xf numFmtId="0" fontId="2" fillId="11" borderId="0" xfId="0"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28" customWidth="1"/>
    <col min="2" max="16384" width="9.140625" style="125"/>
  </cols>
  <sheetData>
    <row r="1" spans="1:1" ht="23.25" x14ac:dyDescent="0.35">
      <c r="A1" s="127" t="s">
        <v>20</v>
      </c>
    </row>
    <row r="2" spans="1:1" x14ac:dyDescent="0.25">
      <c r="A2" s="126" t="s">
        <v>215</v>
      </c>
    </row>
    <row r="3" spans="1:1" x14ac:dyDescent="0.25">
      <c r="A3" s="125" t="s">
        <v>216</v>
      </c>
    </row>
    <row r="4" spans="1:1" x14ac:dyDescent="0.25">
      <c r="A4" s="125" t="s">
        <v>217</v>
      </c>
    </row>
    <row r="5" spans="1:1" x14ac:dyDescent="0.25">
      <c r="A5" s="125" t="s">
        <v>218</v>
      </c>
    </row>
    <row r="6" spans="1:1" x14ac:dyDescent="0.25">
      <c r="A6" s="125" t="s">
        <v>219</v>
      </c>
    </row>
    <row r="7" spans="1:1" x14ac:dyDescent="0.25">
      <c r="A7" s="125" t="s">
        <v>220</v>
      </c>
    </row>
    <row r="8" spans="1:1" x14ac:dyDescent="0.25">
      <c r="A8" s="2" t="s">
        <v>221</v>
      </c>
    </row>
    <row r="9" spans="1:1" x14ac:dyDescent="0.25">
      <c r="A9" s="125" t="s">
        <v>222</v>
      </c>
    </row>
    <row r="10" spans="1:1" x14ac:dyDescent="0.25">
      <c r="A10" s="125"/>
    </row>
    <row r="11" spans="1:1" x14ac:dyDescent="0.25">
      <c r="A11" s="125" t="s">
        <v>223</v>
      </c>
    </row>
    <row r="12" spans="1:1" x14ac:dyDescent="0.25">
      <c r="A12" s="125" t="s">
        <v>214</v>
      </c>
    </row>
    <row r="13" spans="1:1" x14ac:dyDescent="0.25">
      <c r="A13" s="125"/>
    </row>
    <row r="14" spans="1:1" x14ac:dyDescent="0.25">
      <c r="A14" s="125"/>
    </row>
    <row r="15" spans="1:1" x14ac:dyDescent="0.25">
      <c r="A15" s="125"/>
    </row>
    <row r="16" spans="1:1" x14ac:dyDescent="0.25">
      <c r="A16" s="125"/>
    </row>
    <row r="17" spans="1:1" x14ac:dyDescent="0.25">
      <c r="A17" s="125"/>
    </row>
    <row r="18" spans="1:1" x14ac:dyDescent="0.25">
      <c r="A18" s="125"/>
    </row>
    <row r="19" spans="1:1" x14ac:dyDescent="0.25">
      <c r="A19" s="125"/>
    </row>
    <row r="20" spans="1:1" x14ac:dyDescent="0.25">
      <c r="A20" s="125"/>
    </row>
    <row r="21" spans="1:1" x14ac:dyDescent="0.25">
      <c r="A21" s="125"/>
    </row>
    <row r="22" spans="1:1" x14ac:dyDescent="0.25">
      <c r="A22" s="125"/>
    </row>
    <row r="23" spans="1:1" x14ac:dyDescent="0.25">
      <c r="A23" s="1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41"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30" t="s">
        <v>32</v>
      </c>
      <c r="B25" s="94">
        <v>3852</v>
      </c>
      <c r="C25" s="94">
        <v>3138</v>
      </c>
      <c r="D25" s="94">
        <v>3808</v>
      </c>
      <c r="E25" s="94">
        <v>4249</v>
      </c>
      <c r="F25" s="94">
        <v>4466</v>
      </c>
      <c r="G25" s="94">
        <v>8348</v>
      </c>
      <c r="H25" s="94">
        <v>9889</v>
      </c>
      <c r="I25" s="94">
        <v>8574</v>
      </c>
    </row>
    <row r="26" spans="1:9" s="54" customFormat="1" x14ac:dyDescent="0.25">
      <c r="A26" s="130" t="s">
        <v>33</v>
      </c>
      <c r="B26" s="94">
        <v>2072</v>
      </c>
      <c r="C26" s="94">
        <v>2319</v>
      </c>
      <c r="D26" s="94">
        <v>2371</v>
      </c>
      <c r="E26" s="94">
        <v>996</v>
      </c>
      <c r="F26" s="94">
        <v>197</v>
      </c>
      <c r="G26" s="94">
        <v>439</v>
      </c>
      <c r="H26" s="94">
        <v>3587</v>
      </c>
      <c r="I26" s="94">
        <v>4423</v>
      </c>
    </row>
    <row r="27" spans="1:9" s="54" customFormat="1" x14ac:dyDescent="0.25">
      <c r="A27" s="130" t="s">
        <v>34</v>
      </c>
      <c r="B27" s="94">
        <v>3358</v>
      </c>
      <c r="C27" s="94">
        <v>3241</v>
      </c>
      <c r="D27" s="94">
        <v>3677</v>
      </c>
      <c r="E27" s="94">
        <v>3498</v>
      </c>
      <c r="F27" s="94">
        <v>4272</v>
      </c>
      <c r="G27" s="94">
        <v>2749</v>
      </c>
      <c r="H27" s="94">
        <v>4463</v>
      </c>
      <c r="I27" s="94">
        <v>4667</v>
      </c>
    </row>
    <row r="28" spans="1:9" s="54" customFormat="1" x14ac:dyDescent="0.25">
      <c r="A28" s="130"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31" t="s">
        <v>10</v>
      </c>
      <c r="B30" s="132">
        <f t="shared" ref="B30:H30" si="6">+SUM(B25:B29)</f>
        <v>15587</v>
      </c>
      <c r="C30" s="132">
        <f t="shared" si="6"/>
        <v>15025</v>
      </c>
      <c r="D30" s="132">
        <f t="shared" si="6"/>
        <v>16061</v>
      </c>
      <c r="E30" s="132">
        <f t="shared" si="6"/>
        <v>15134</v>
      </c>
      <c r="F30" s="132">
        <f t="shared" si="6"/>
        <v>16525</v>
      </c>
      <c r="G30" s="132">
        <f t="shared" si="6"/>
        <v>20556</v>
      </c>
      <c r="H30" s="132">
        <f t="shared" si="6"/>
        <v>26291</v>
      </c>
      <c r="I30" s="132">
        <f>+SUM(I25:I29)</f>
        <v>28213</v>
      </c>
    </row>
    <row r="31" spans="1:9" s="54" customFormat="1" x14ac:dyDescent="0.25">
      <c r="A31" s="109" t="s">
        <v>37</v>
      </c>
      <c r="B31" s="94">
        <v>3011</v>
      </c>
      <c r="C31" s="94">
        <v>3520</v>
      </c>
      <c r="D31" s="94">
        <v>3989</v>
      </c>
      <c r="E31" s="94">
        <v>4454</v>
      </c>
      <c r="F31" s="94">
        <v>4744</v>
      </c>
      <c r="G31" s="94">
        <v>4866</v>
      </c>
      <c r="H31" s="94">
        <v>4904</v>
      </c>
      <c r="I31" s="94">
        <v>4791</v>
      </c>
    </row>
    <row r="32" spans="1:9" s="54" customFormat="1" x14ac:dyDescent="0.25">
      <c r="A32" s="109" t="s">
        <v>38</v>
      </c>
      <c r="B32" s="94">
        <v>0</v>
      </c>
      <c r="C32" s="94">
        <v>0</v>
      </c>
      <c r="D32" s="94">
        <v>0</v>
      </c>
      <c r="E32" s="94">
        <v>0</v>
      </c>
      <c r="F32" s="94">
        <v>0</v>
      </c>
      <c r="G32" s="94">
        <v>3097</v>
      </c>
      <c r="H32" s="94">
        <v>3113</v>
      </c>
      <c r="I32" s="94">
        <v>2926</v>
      </c>
    </row>
    <row r="33" spans="1:9" s="54" customFormat="1" x14ac:dyDescent="0.25">
      <c r="A33" s="109" t="s">
        <v>39</v>
      </c>
      <c r="B33" s="94">
        <v>281</v>
      </c>
      <c r="C33" s="94">
        <v>281</v>
      </c>
      <c r="D33" s="94">
        <v>283</v>
      </c>
      <c r="E33" s="94">
        <v>285</v>
      </c>
      <c r="F33" s="94">
        <v>283</v>
      </c>
      <c r="G33" s="94">
        <v>274</v>
      </c>
      <c r="H33" s="94">
        <v>269</v>
      </c>
      <c r="I33" s="94">
        <v>286</v>
      </c>
    </row>
    <row r="34" spans="1:9" s="54" customFormat="1" x14ac:dyDescent="0.25">
      <c r="A34" s="109"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98">
        <v>0</v>
      </c>
      <c r="G89" s="98">
        <v>0</v>
      </c>
      <c r="H89" s="98">
        <v>0</v>
      </c>
      <c r="I89" s="98">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4" sqref="J4"/>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209</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8289.7417238520029</v>
      </c>
      <c r="M5" s="95">
        <f t="shared" si="10"/>
        <v>7185.6362546165692</v>
      </c>
      <c r="N5" s="95">
        <f t="shared" si="10"/>
        <v>6143.8795945561042</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-0.1245961897397867</v>
      </c>
      <c r="M6" s="45">
        <f t="shared" si="12"/>
        <v>-0.13318936898342693</v>
      </c>
      <c r="N6" s="45">
        <f t="shared" si="12"/>
        <v>-0.1449776502938297</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0.13776805091215558</v>
      </c>
      <c r="M7" s="45">
        <f t="shared" si="14"/>
        <v>0.10804708965499429</v>
      </c>
      <c r="N7" s="45">
        <f t="shared" si="14"/>
        <v>8.3119019223662272E-2</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7428.1528332840026</v>
      </c>
      <c r="M11" s="95">
        <f t="shared" si="20"/>
        <v>6179.3681633881934</v>
      </c>
      <c r="N11" s="95">
        <f t="shared" si="20"/>
        <v>4890.2881836258111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-0.14524797361289599</v>
      </c>
      <c r="M12" s="45">
        <f t="shared" si="22"/>
        <v>-0.16811510181915834</v>
      </c>
      <c r="N12" s="45">
        <f t="shared" si="22"/>
        <v>-0.20861032158594839</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0.12344921854134877</v>
      </c>
      <c r="M13" s="45">
        <f t="shared" si="24"/>
        <v>9.291630167500714E-2</v>
      </c>
      <c r="N13" s="45">
        <f t="shared" si="24"/>
        <v>6.6159492758322863E-2</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210</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210</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210</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00">
        <f t="shared" ref="K35:N35" si="99">J35-(0.06*J35)</f>
        <v>4628.2968000000001</v>
      </c>
      <c r="L35" s="100">
        <f t="shared" si="99"/>
        <v>4350.5989920000002</v>
      </c>
      <c r="M35" s="100">
        <f t="shared" si="99"/>
        <v>4089.5630524800004</v>
      </c>
      <c r="N35" s="100">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23">
        <v>0.28000000000000003</v>
      </c>
      <c r="K37" s="123">
        <f t="shared" ref="K37:N37" si="109">+J37</f>
        <v>0.28000000000000003</v>
      </c>
      <c r="L37" s="123">
        <f t="shared" si="109"/>
        <v>0.28000000000000003</v>
      </c>
      <c r="M37" s="123">
        <f t="shared" si="109"/>
        <v>0.28000000000000003</v>
      </c>
      <c r="N37" s="12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00">
        <f t="shared" ref="K38:N38" si="110">J38-(0.06*J38)</f>
        <v>109.5664</v>
      </c>
      <c r="L38" s="100">
        <f t="shared" si="110"/>
        <v>102.99241600000001</v>
      </c>
      <c r="M38" s="100">
        <f t="shared" si="110"/>
        <v>96.812871040000005</v>
      </c>
      <c r="N38" s="100">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9">
        <f t="shared" ref="K42:N42" si="127">K35-K38</f>
        <v>4518.7304000000004</v>
      </c>
      <c r="L42" s="99">
        <f t="shared" si="127"/>
        <v>4247.6065760000001</v>
      </c>
      <c r="M42" s="99">
        <f t="shared" si="127"/>
        <v>3992.7501814400002</v>
      </c>
      <c r="N42" s="99">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205</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17">
        <f>I54*(1+J55)</f>
        <v>7905.1600000000008</v>
      </c>
      <c r="K54" s="117">
        <f t="shared" ref="K54:N54" si="170">J54*(1+K55)</f>
        <v>8458.521200000001</v>
      </c>
      <c r="L54" s="117">
        <f t="shared" si="170"/>
        <v>9050.6176840000007</v>
      </c>
      <c r="M54" s="117">
        <f t="shared" si="170"/>
        <v>9684.1609218800022</v>
      </c>
      <c r="N54" s="117">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211</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17">
        <f>I58*(1+J59)</f>
        <v>4843.8900000000003</v>
      </c>
      <c r="K58" s="117">
        <f t="shared" ref="K58:N58" si="174">J58*(1+K59)</f>
        <v>5182.9623000000011</v>
      </c>
      <c r="L58" s="117">
        <f t="shared" si="174"/>
        <v>5545.7696610000012</v>
      </c>
      <c r="M58" s="117">
        <f t="shared" si="174"/>
        <v>5933.9735372700015</v>
      </c>
      <c r="N58" s="117">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211</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17">
        <f>I62*(1+J63)</f>
        <v>603.48</v>
      </c>
      <c r="K62" s="117">
        <f t="shared" ref="K62:N62" si="178">J62*(1+K63)</f>
        <v>645.72360000000003</v>
      </c>
      <c r="L62" s="117">
        <f t="shared" si="178"/>
        <v>690.92425200000002</v>
      </c>
      <c r="M62" s="117">
        <f t="shared" si="178"/>
        <v>739.28894964000006</v>
      </c>
      <c r="N62" s="117">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211</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24">
        <f>I69-(0.13*I69)</f>
        <v>116.58</v>
      </c>
      <c r="K69" s="124">
        <f t="shared" ref="K69:N69" si="188">J69-(0.13*J69)</f>
        <v>101.4246</v>
      </c>
      <c r="L69" s="124">
        <f t="shared" si="188"/>
        <v>88.239401999999998</v>
      </c>
      <c r="M69" s="124">
        <f t="shared" si="188"/>
        <v>76.768279739999997</v>
      </c>
      <c r="N69" s="124">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04" t="s">
        <v>134</v>
      </c>
      <c r="B73" s="104">
        <f>Historicals!B161+Historicals!B164</f>
        <v>1524</v>
      </c>
      <c r="C73" s="104">
        <f>Historicals!C158</f>
        <v>1787</v>
      </c>
      <c r="D73" s="104">
        <f>Historicals!D158</f>
        <v>1507</v>
      </c>
      <c r="E73" s="104">
        <f>Historicals!E158</f>
        <v>1587</v>
      </c>
      <c r="F73" s="104">
        <f>Historicals!F158</f>
        <v>1995</v>
      </c>
      <c r="G73" s="104">
        <f>Historicals!G158</f>
        <v>1541</v>
      </c>
      <c r="H73" s="104">
        <f>Historicals!H158</f>
        <v>2435</v>
      </c>
      <c r="I73" s="104">
        <f>Historicals!I158</f>
        <v>3293</v>
      </c>
      <c r="J73" s="122">
        <f>J66-J69</f>
        <v>2864.91</v>
      </c>
      <c r="K73" s="122">
        <f t="shared" ref="K73:N73" si="195">K66-K69</f>
        <v>2492.4717000000001</v>
      </c>
      <c r="L73" s="122">
        <f t="shared" si="195"/>
        <v>2168.4503789999999</v>
      </c>
      <c r="M73" s="122">
        <f t="shared" si="195"/>
        <v>1886.55182973</v>
      </c>
      <c r="N73" s="122">
        <f t="shared" si="195"/>
        <v>1641.3000918651001</v>
      </c>
      <c r="O73" s="54" t="s">
        <v>206</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212</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17">
        <f>I85*(1+J86)</f>
        <v>6770</v>
      </c>
      <c r="K85" s="117">
        <f t="shared" ref="K85:N85" si="216">J85*(1+K86)</f>
        <v>8462.5</v>
      </c>
      <c r="L85" s="117">
        <f t="shared" si="216"/>
        <v>10578.125</v>
      </c>
      <c r="M85" s="117">
        <f t="shared" si="216"/>
        <v>13222.65625</v>
      </c>
      <c r="N85" s="117">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212</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17">
        <f>I89*(1+J90)</f>
        <v>2422.5</v>
      </c>
      <c r="K89" s="117">
        <f t="shared" ref="K89:N89" si="220">J89*(1+K90)</f>
        <v>3028.125</v>
      </c>
      <c r="L89" s="117">
        <f t="shared" si="220"/>
        <v>3785.15625</v>
      </c>
      <c r="M89" s="117">
        <f t="shared" si="220"/>
        <v>4731.4453125</v>
      </c>
      <c r="N89" s="117">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212</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17">
        <f>I93*(1+J94)</f>
        <v>241.25</v>
      </c>
      <c r="K93" s="117">
        <f t="shared" ref="K93:N93" si="224">J93*(1+K94)</f>
        <v>301.5625</v>
      </c>
      <c r="L93" s="117">
        <f t="shared" si="224"/>
        <v>376.953125</v>
      </c>
      <c r="M93" s="117">
        <f t="shared" si="224"/>
        <v>471.19140625</v>
      </c>
      <c r="N93" s="117">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212</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18">
        <f>I97+(0.7*I97)</f>
        <v>4090.2</v>
      </c>
      <c r="K97" s="118">
        <f t="shared" ref="K97" si="229">J97+(0.7*J97)</f>
        <v>6953.34</v>
      </c>
      <c r="L97" s="118">
        <f>K97</f>
        <v>6953.34</v>
      </c>
      <c r="M97" s="118">
        <f>K97</f>
        <v>6953.34</v>
      </c>
      <c r="N97" s="118">
        <f>K97</f>
        <v>6953.34</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v>
      </c>
      <c r="M98" s="45">
        <f t="shared" si="231"/>
        <v>0</v>
      </c>
      <c r="N98" s="45">
        <f t="shared" si="231"/>
        <v>0</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00">
        <f t="shared" ref="K100:N100" si="234">J100+(0.7*J100)</f>
        <v>118.49000000000001</v>
      </c>
      <c r="L100" s="100">
        <f t="shared" si="234"/>
        <v>201.43299999999999</v>
      </c>
      <c r="M100" s="100">
        <f t="shared" si="234"/>
        <v>342.43610000000001</v>
      </c>
      <c r="N100" s="100">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04" t="s">
        <v>134</v>
      </c>
      <c r="B104" s="104">
        <f>Historicals!B159</f>
        <v>993</v>
      </c>
      <c r="C104" s="104">
        <f>Historicals!C159</f>
        <v>1372</v>
      </c>
      <c r="D104" s="104">
        <f>Historicals!D159</f>
        <v>1507</v>
      </c>
      <c r="E104" s="104">
        <f>Historicals!E159</f>
        <v>1807</v>
      </c>
      <c r="F104" s="104">
        <f>Historicals!F159</f>
        <v>2376</v>
      </c>
      <c r="G104" s="104">
        <f>Historicals!G159</f>
        <v>2490</v>
      </c>
      <c r="H104" s="104">
        <f>Historicals!H159</f>
        <v>3243</v>
      </c>
      <c r="I104" s="104">
        <f>Historicals!I159</f>
        <v>2365</v>
      </c>
      <c r="J104" s="116">
        <f>J97-J100</f>
        <v>4020.5</v>
      </c>
      <c r="K104" s="116">
        <f t="shared" ref="K104:N104" si="241">K97-K100</f>
        <v>6834.85</v>
      </c>
      <c r="L104" s="116">
        <f t="shared" si="241"/>
        <v>6751.9070000000002</v>
      </c>
      <c r="M104" s="116">
        <f t="shared" si="241"/>
        <v>6610.9039000000002</v>
      </c>
      <c r="N104" s="116">
        <f t="shared" si="241"/>
        <v>6371.1986299999999</v>
      </c>
      <c r="O104" s="54" t="s">
        <v>207</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-1.2135306553911263E-2</v>
      </c>
      <c r="M105" s="45">
        <f t="shared" si="243"/>
        <v>-2.0883448187304698E-2</v>
      </c>
      <c r="N105" s="45">
        <f t="shared" si="243"/>
        <v>-3.6259076463053819E-2</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18">
        <f>J83*J112</f>
        <v>378.75</v>
      </c>
      <c r="K110" s="118">
        <f t="shared" ref="K110:N110" si="251">K83*K112</f>
        <v>473.4375</v>
      </c>
      <c r="L110" s="118">
        <f t="shared" si="251"/>
        <v>591.796875</v>
      </c>
      <c r="M110" s="118">
        <f t="shared" si="251"/>
        <v>739.74609375</v>
      </c>
      <c r="N110" s="118">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18">
        <f>J116+J120+J124</f>
        <v>6312.3</v>
      </c>
      <c r="K114" s="118">
        <f t="shared" ref="K114:N114" si="260">K116+K120+K124</f>
        <v>6691.0380000000005</v>
      </c>
      <c r="L114" s="118">
        <f t="shared" si="260"/>
        <v>7092.5002800000011</v>
      </c>
      <c r="M114" s="118">
        <f t="shared" si="260"/>
        <v>7518.050296800001</v>
      </c>
      <c r="N114" s="118">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213</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17">
        <f>I116*(1+J117)</f>
        <v>4357.66</v>
      </c>
      <c r="K116" s="117">
        <f t="shared" ref="K116:N116" si="263">J116*(1+K117)</f>
        <v>4619.1196</v>
      </c>
      <c r="L116" s="117">
        <f t="shared" si="263"/>
        <v>4896.2667760000004</v>
      </c>
      <c r="M116" s="117">
        <f t="shared" si="263"/>
        <v>5190.0427825600009</v>
      </c>
      <c r="N116" s="117">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213</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17">
        <f>I120*(1+J121)</f>
        <v>1706.6000000000001</v>
      </c>
      <c r="K120" s="117">
        <f t="shared" ref="K120:N120" si="267">J120*(1+K121)</f>
        <v>1808.9960000000003</v>
      </c>
      <c r="L120" s="117">
        <f t="shared" si="267"/>
        <v>1917.5357600000004</v>
      </c>
      <c r="M120" s="117">
        <f t="shared" si="267"/>
        <v>2032.5879056000006</v>
      </c>
      <c r="N120" s="117">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213</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17">
        <f>I124*(1+J125)</f>
        <v>248.04000000000002</v>
      </c>
      <c r="K124" s="117">
        <f t="shared" ref="K124:N124" si="271">J124*(1+K125)</f>
        <v>262.92240000000004</v>
      </c>
      <c r="L124" s="117">
        <f t="shared" si="271"/>
        <v>278.69774400000006</v>
      </c>
      <c r="M124" s="117">
        <f t="shared" si="271"/>
        <v>295.41960864000009</v>
      </c>
      <c r="N124" s="117">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213</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00">
        <f t="shared" ref="K128:N128" si="276">J128-(0.16*J128)</f>
        <v>1367.4528</v>
      </c>
      <c r="L128" s="100">
        <f t="shared" si="276"/>
        <v>1148.6603520000001</v>
      </c>
      <c r="M128" s="100">
        <f t="shared" si="276"/>
        <v>964.87469568000006</v>
      </c>
      <c r="N128" s="100">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18">
        <f>I131-(0.16*I131)</f>
        <v>35.28</v>
      </c>
      <c r="K131" s="118">
        <f t="shared" ref="K131:N131" si="281">J131-(0.16*J131)</f>
        <v>29.635200000000001</v>
      </c>
      <c r="L131" s="118">
        <f t="shared" si="281"/>
        <v>24.893568000000002</v>
      </c>
      <c r="M131" s="118">
        <f t="shared" si="281"/>
        <v>20.910597120000002</v>
      </c>
      <c r="N131" s="118">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04" t="s">
        <v>134</v>
      </c>
      <c r="B135" s="104">
        <f>Historicals!B162+Historicals!B163</f>
        <v>918</v>
      </c>
      <c r="C135" s="104">
        <f>Historicals!C160</f>
        <v>1002</v>
      </c>
      <c r="D135" s="104">
        <f>Historicals!D160</f>
        <v>980</v>
      </c>
      <c r="E135" s="104">
        <f>Historicals!E160</f>
        <v>1189</v>
      </c>
      <c r="F135" s="104">
        <f>Historicals!F160</f>
        <v>1323</v>
      </c>
      <c r="G135" s="104">
        <f>Historicals!G160</f>
        <v>1184</v>
      </c>
      <c r="H135" s="104">
        <f>Historicals!H160</f>
        <v>1530</v>
      </c>
      <c r="I135" s="104">
        <f>Historicals!I160</f>
        <v>1896</v>
      </c>
      <c r="J135" s="116">
        <f>J128-J131</f>
        <v>1592.64</v>
      </c>
      <c r="K135" s="116">
        <f t="shared" ref="K135:N135" si="288">K128-K131</f>
        <v>1337.8176000000001</v>
      </c>
      <c r="L135" s="116">
        <f t="shared" si="288"/>
        <v>1123.7667840000001</v>
      </c>
      <c r="M135" s="116">
        <f t="shared" si="288"/>
        <v>943.96409856000002</v>
      </c>
      <c r="N135" s="116">
        <f t="shared" si="288"/>
        <v>792.92984279040013</v>
      </c>
      <c r="O135" s="54" t="s">
        <v>208</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18">
        <f>J114*J140</f>
        <v>59.36</v>
      </c>
      <c r="K138" s="118">
        <f t="shared" ref="K138:N138" si="293">K114*K140</f>
        <v>62.921600000000005</v>
      </c>
      <c r="L138" s="118">
        <f t="shared" si="293"/>
        <v>66.69689600000001</v>
      </c>
      <c r="M138" s="118">
        <f t="shared" si="293"/>
        <v>70.698709760000014</v>
      </c>
      <c r="N138" s="118">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19">
        <f>J114*J143</f>
        <v>290.44</v>
      </c>
      <c r="K141" s="119">
        <f t="shared" ref="K141:N141" si="298">K114*K143</f>
        <v>307.8664</v>
      </c>
      <c r="L141" s="119">
        <f t="shared" si="298"/>
        <v>326.33838400000008</v>
      </c>
      <c r="M141" s="119">
        <f t="shared" si="298"/>
        <v>345.91868704000007</v>
      </c>
      <c r="N141" s="119">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20">
        <f>I145*(1+J146)</f>
        <v>2479.7219999999998</v>
      </c>
      <c r="K145" s="120">
        <f t="shared" ref="K145:N145" si="307">J145*(1+K146)</f>
        <v>2621.0661539999996</v>
      </c>
      <c r="L145" s="120">
        <f t="shared" si="307"/>
        <v>2770.4669247779993</v>
      </c>
      <c r="M145" s="120">
        <f t="shared" si="307"/>
        <v>2928.3835394903454</v>
      </c>
      <c r="N145" s="120">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204</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18">
        <f>J159-J155</f>
        <v>707.13299999999992</v>
      </c>
      <c r="K149" s="118">
        <f t="shared" ref="K149:N149" si="311">K159-K155</f>
        <v>747.43958099999986</v>
      </c>
      <c r="L149" s="118">
        <f t="shared" si="311"/>
        <v>790.04363711699978</v>
      </c>
      <c r="M149" s="118">
        <f t="shared" si="311"/>
        <v>835.07612443266885</v>
      </c>
      <c r="N149" s="118">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18">
        <f>J145*J154</f>
        <v>9.5129999999999999</v>
      </c>
      <c r="K152" s="118">
        <f t="shared" ref="K152:N152" si="320">K145*K154</f>
        <v>10.055240999999999</v>
      </c>
      <c r="L152" s="118">
        <f t="shared" si="320"/>
        <v>10.628389736999997</v>
      </c>
      <c r="M152" s="118">
        <f t="shared" si="320"/>
        <v>11.234207952008997</v>
      </c>
      <c r="N152" s="118">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21">
        <f>J158*J162</f>
        <v>23.254000000000001</v>
      </c>
      <c r="K155" s="121">
        <f t="shared" ref="K155:N155" si="329">K158*K162</f>
        <v>24.579477999999998</v>
      </c>
      <c r="L155" s="121">
        <f t="shared" si="329"/>
        <v>25.980508245999996</v>
      </c>
      <c r="M155" s="121">
        <f t="shared" si="329"/>
        <v>27.461397216021997</v>
      </c>
      <c r="N155" s="121">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21">
        <f>J145*J161</f>
        <v>730.38699999999994</v>
      </c>
      <c r="K159" s="121">
        <f t="shared" ref="K159:N159" si="340">K145*K161</f>
        <v>772.01905899999986</v>
      </c>
      <c r="L159" s="121">
        <f t="shared" si="340"/>
        <v>816.02414536299977</v>
      </c>
      <c r="M159" s="121">
        <f t="shared" si="340"/>
        <v>862.53752164869081</v>
      </c>
      <c r="N159" s="121">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21">
        <f>J145*J164</f>
        <v>51.792999999999999</v>
      </c>
      <c r="K162" s="121">
        <f t="shared" ref="K162:N162" si="349">K145*K164</f>
        <v>54.745200999999994</v>
      </c>
      <c r="L162" s="121">
        <f t="shared" si="349"/>
        <v>57.86567745699999</v>
      </c>
      <c r="M162" s="121">
        <f t="shared" si="349"/>
        <v>61.164021072048989</v>
      </c>
      <c r="N162" s="121">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204</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21">
        <f>J166*J185</f>
        <v>833.97299999999996</v>
      </c>
      <c r="K183" s="121">
        <f t="shared" ref="K183:N183" si="400">K166*K185</f>
        <v>881.50946099999999</v>
      </c>
      <c r="L183" s="121">
        <f t="shared" si="400"/>
        <v>931.7555002769999</v>
      </c>
      <c r="M183" s="121">
        <f t="shared" si="400"/>
        <v>984.86556379278875</v>
      </c>
      <c r="N183" s="121">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204</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17">
        <f>J187*J203</f>
        <v>-2203.8449999999998</v>
      </c>
      <c r="K201" s="117">
        <f t="shared" ref="K201:N201" si="438">K187*K203</f>
        <v>-2329.4641649999994</v>
      </c>
      <c r="L201" s="117">
        <f t="shared" si="438"/>
        <v>-2462.2436224049993</v>
      </c>
      <c r="M201" s="117">
        <f t="shared" si="438"/>
        <v>-2602.5915088820839</v>
      </c>
      <c r="N201" s="117">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8" zoomScaleNormal="100" workbookViewId="0">
      <selection activeCell="O2" sqref="O2"/>
    </sheetView>
  </sheetViews>
  <sheetFormatPr defaultColWidth="9.140625" defaultRowHeight="15" x14ac:dyDescent="0.25"/>
  <cols>
    <col min="1" max="1" width="48.7109375" style="54" customWidth="1"/>
    <col min="2" max="8" width="11.7109375" style="54" customWidth="1"/>
    <col min="9" max="9" width="9.5703125" style="54" bestFit="1" customWidth="1"/>
    <col min="10" max="10" width="10.5703125" style="54" bestFit="1" customWidth="1"/>
    <col min="11" max="11" width="11.28515625" style="54" bestFit="1" customWidth="1"/>
    <col min="12" max="14" width="11.5703125" style="54" bestFit="1" customWidth="1"/>
    <col min="15" max="15" width="53.42578125" style="54" customWidth="1"/>
    <col min="16" max="16" width="53.28515625" style="54" customWidth="1"/>
    <col min="17" max="17" width="48.85546875" style="54" customWidth="1"/>
    <col min="18" max="18" width="36.5703125" style="54" customWidth="1"/>
    <col min="19" max="19" width="52.28515625" style="54" customWidth="1"/>
    <col min="20" max="20" width="22.28515625" style="54" customWidth="1"/>
    <col min="21" max="21" width="39.85546875" style="54" customWidth="1"/>
    <col min="22" max="16384" width="9.140625" style="54"/>
  </cols>
  <sheetData>
    <row r="1" spans="1:20" ht="60" customHeight="1" x14ac:dyDescent="0.3">
      <c r="A1" s="149" t="s">
        <v>116</v>
      </c>
      <c r="B1" s="150">
        <f t="shared" ref="B1:G1" si="0">+C1-1</f>
        <v>2015</v>
      </c>
      <c r="C1" s="150">
        <f t="shared" si="0"/>
        <v>2016</v>
      </c>
      <c r="D1" s="150">
        <f t="shared" si="0"/>
        <v>2017</v>
      </c>
      <c r="E1" s="150">
        <f t="shared" si="0"/>
        <v>2018</v>
      </c>
      <c r="F1" s="150">
        <f t="shared" si="0"/>
        <v>2019</v>
      </c>
      <c r="G1" s="150">
        <f t="shared" si="0"/>
        <v>2020</v>
      </c>
      <c r="H1" s="150">
        <f>+I1-1</f>
        <v>2021</v>
      </c>
      <c r="I1" s="150">
        <v>2022</v>
      </c>
      <c r="J1" s="152">
        <v>2023</v>
      </c>
      <c r="K1" s="152">
        <v>2024</v>
      </c>
      <c r="L1" s="152">
        <v>2025</v>
      </c>
      <c r="M1" s="152">
        <v>2026</v>
      </c>
      <c r="N1" s="152">
        <v>2027</v>
      </c>
      <c r="O1" s="81"/>
      <c r="P1" s="141" t="s">
        <v>237</v>
      </c>
      <c r="Q1" s="141" t="s">
        <v>237</v>
      </c>
      <c r="R1" s="81"/>
      <c r="S1" s="81"/>
      <c r="T1" s="81"/>
    </row>
    <row r="2" spans="1:20" x14ac:dyDescent="0.25">
      <c r="A2" s="151" t="s">
        <v>156</v>
      </c>
      <c r="B2" s="151"/>
      <c r="C2" s="151"/>
      <c r="D2" s="151"/>
      <c r="E2" s="151"/>
      <c r="F2" s="151"/>
      <c r="G2" s="151"/>
      <c r="H2" s="151"/>
      <c r="I2" s="151"/>
      <c r="J2" s="152"/>
      <c r="K2" s="152"/>
      <c r="L2" s="152"/>
      <c r="M2" s="152"/>
      <c r="N2" s="152"/>
      <c r="O2" s="81"/>
      <c r="P2" s="81"/>
      <c r="Q2" s="81"/>
      <c r="R2" s="81"/>
      <c r="S2" s="81"/>
      <c r="T2" s="81"/>
    </row>
    <row r="3" spans="1:20" x14ac:dyDescent="0.25">
      <c r="A3" s="81" t="s">
        <v>136</v>
      </c>
      <c r="B3" s="104">
        <f>'Segmental forecast'!B3</f>
        <v>30601</v>
      </c>
      <c r="C3" s="104">
        <f>'Segmental forecast'!C3</f>
        <v>32376</v>
      </c>
      <c r="D3" s="104">
        <f>'Segmental forecast'!D3</f>
        <v>34350</v>
      </c>
      <c r="E3" s="104">
        <f>'Segmental forecast'!E3</f>
        <v>36397</v>
      </c>
      <c r="F3" s="104">
        <f>'Segmental forecast'!F3</f>
        <v>39117</v>
      </c>
      <c r="G3" s="104">
        <f>'Segmental forecast'!G3</f>
        <v>37403</v>
      </c>
      <c r="H3" s="104">
        <f>'Segmental forecast'!H3</f>
        <v>44538</v>
      </c>
      <c r="I3" s="104">
        <f>'Segmental forecast'!I3</f>
        <v>46710</v>
      </c>
      <c r="J3" s="104">
        <f>'Segmental forecast'!J3</f>
        <v>50007.132000000005</v>
      </c>
      <c r="K3" s="104">
        <f>'Segmental forecast'!K3</f>
        <v>54724.521624000001</v>
      </c>
      <c r="L3" s="104">
        <f>'Segmental forecast'!L3</f>
        <v>60171.728270567997</v>
      </c>
      <c r="M3" s="104">
        <f>'Segmental forecast'!M3</f>
        <v>66504.67196813038</v>
      </c>
      <c r="N3" s="104">
        <f>'Segmental forecast'!N3</f>
        <v>73916.651711490224</v>
      </c>
      <c r="O3" s="104"/>
      <c r="P3" s="104"/>
      <c r="Q3" s="104"/>
      <c r="R3" s="104"/>
      <c r="S3" s="104"/>
      <c r="T3" s="104"/>
    </row>
    <row r="4" spans="1:20" x14ac:dyDescent="0.25">
      <c r="A4" s="134" t="s">
        <v>129</v>
      </c>
      <c r="B4" s="111" t="str">
        <f>IFERROR(B3/A3-1,"nm")</f>
        <v>nm</v>
      </c>
      <c r="C4" s="111">
        <f t="shared" ref="C4:I4" si="1">IFERROR(C3/B3-1,"nm")</f>
        <v>5.8004640371229765E-2</v>
      </c>
      <c r="D4" s="111">
        <f t="shared" si="1"/>
        <v>6.0971089696071123E-2</v>
      </c>
      <c r="E4" s="111">
        <f t="shared" si="1"/>
        <v>5.95924308588065E-2</v>
      </c>
      <c r="F4" s="111">
        <f t="shared" si="1"/>
        <v>7.4731433909388079E-2</v>
      </c>
      <c r="G4" s="111">
        <f t="shared" si="1"/>
        <v>-4.3817266150267153E-2</v>
      </c>
      <c r="H4" s="111">
        <f t="shared" si="1"/>
        <v>0.19076009945726269</v>
      </c>
      <c r="I4" s="111">
        <f t="shared" si="1"/>
        <v>4.8767344739323759E-2</v>
      </c>
      <c r="J4" s="111"/>
      <c r="K4" s="111"/>
      <c r="L4" s="111"/>
      <c r="M4" s="111"/>
      <c r="N4" s="111"/>
      <c r="O4" s="111"/>
      <c r="P4" s="111"/>
      <c r="Q4" s="111"/>
      <c r="R4" s="111"/>
      <c r="S4" s="111"/>
      <c r="T4" s="111"/>
    </row>
    <row r="5" spans="1:20" x14ac:dyDescent="0.25">
      <c r="A5" s="81" t="s">
        <v>157</v>
      </c>
      <c r="B5" s="104">
        <f>'Segmental forecast'!B5</f>
        <v>4839</v>
      </c>
      <c r="C5" s="104">
        <f>'Segmental forecast'!C5</f>
        <v>5291</v>
      </c>
      <c r="D5" s="104">
        <f>'Segmental forecast'!D5</f>
        <v>5651</v>
      </c>
      <c r="E5" s="104">
        <f>'Segmental forecast'!E5</f>
        <v>5126</v>
      </c>
      <c r="F5" s="104">
        <f>'Segmental forecast'!F5</f>
        <v>5555</v>
      </c>
      <c r="G5" s="104">
        <f>'Segmental forecast'!G5</f>
        <v>3697</v>
      </c>
      <c r="H5" s="104">
        <f>'Segmental forecast'!H5</f>
        <v>7667</v>
      </c>
      <c r="I5" s="104">
        <f>'Segmental forecast'!I5</f>
        <v>7573</v>
      </c>
      <c r="J5" s="104">
        <f>'Segmental forecast'!J5</f>
        <v>7877.478000000001</v>
      </c>
      <c r="K5" s="104">
        <f>'Segmental forecast'!K5</f>
        <v>9469.6203360000018</v>
      </c>
      <c r="L5" s="104">
        <f>'Segmental forecast'!L5</f>
        <v>8289.7417238520029</v>
      </c>
      <c r="M5" s="104">
        <f>'Segmental forecast'!M5</f>
        <v>7185.6362546165692</v>
      </c>
      <c r="N5" s="104">
        <f>'Segmental forecast'!N5</f>
        <v>6143.8795945561042</v>
      </c>
      <c r="O5" s="104"/>
      <c r="P5" s="104"/>
      <c r="Q5" s="104" t="s">
        <v>233</v>
      </c>
      <c r="R5" s="104"/>
      <c r="S5" s="104"/>
      <c r="T5" s="104"/>
    </row>
    <row r="6" spans="1:20" x14ac:dyDescent="0.25">
      <c r="A6" s="135" t="s">
        <v>132</v>
      </c>
      <c r="B6" s="112">
        <f>'Segmental forecast'!B8</f>
        <v>606</v>
      </c>
      <c r="C6" s="112">
        <f>'Segmental forecast'!C8</f>
        <v>649</v>
      </c>
      <c r="D6" s="112">
        <f>'Segmental forecast'!D8</f>
        <v>706</v>
      </c>
      <c r="E6" s="112">
        <f>'Segmental forecast'!E8</f>
        <v>747</v>
      </c>
      <c r="F6" s="112">
        <f>'Segmental forecast'!F8</f>
        <v>705</v>
      </c>
      <c r="G6" s="112">
        <f>'Segmental forecast'!G8</f>
        <v>721</v>
      </c>
      <c r="H6" s="112">
        <f>'Segmental forecast'!H8</f>
        <v>744</v>
      </c>
      <c r="I6" s="112">
        <f>'Segmental forecast'!I8</f>
        <v>717</v>
      </c>
      <c r="J6" s="112">
        <f>'Segmental forecast'!J8</f>
        <v>735.55200000000002</v>
      </c>
      <c r="K6" s="112">
        <f>'Segmental forecast'!K8</f>
        <v>779.20182399999999</v>
      </c>
      <c r="L6" s="112">
        <f>'Segmental forecast'!L8</f>
        <v>861.5888905679999</v>
      </c>
      <c r="M6" s="112">
        <f>'Segmental forecast'!M8</f>
        <v>1006.2680912283759</v>
      </c>
      <c r="N6" s="112">
        <f>'Segmental forecast'!N8</f>
        <v>1253.5914109302933</v>
      </c>
      <c r="O6" s="112"/>
      <c r="P6" s="112"/>
      <c r="Q6" s="112"/>
      <c r="R6" s="112"/>
      <c r="S6" s="112"/>
      <c r="T6" s="112"/>
    </row>
    <row r="7" spans="1:20" x14ac:dyDescent="0.25">
      <c r="A7" s="131" t="s">
        <v>134</v>
      </c>
      <c r="B7" s="132">
        <f>B5-B6</f>
        <v>4233</v>
      </c>
      <c r="C7" s="132">
        <f t="shared" ref="C7:I7" si="2">C5-C6</f>
        <v>4642</v>
      </c>
      <c r="D7" s="132">
        <f t="shared" si="2"/>
        <v>4945</v>
      </c>
      <c r="E7" s="132">
        <f t="shared" si="2"/>
        <v>4379</v>
      </c>
      <c r="F7" s="132">
        <f t="shared" si="2"/>
        <v>4850</v>
      </c>
      <c r="G7" s="132">
        <f t="shared" si="2"/>
        <v>2976</v>
      </c>
      <c r="H7" s="132">
        <f t="shared" si="2"/>
        <v>6923</v>
      </c>
      <c r="I7" s="132">
        <f t="shared" si="2"/>
        <v>6856</v>
      </c>
      <c r="J7" s="132">
        <f>'Segmental forecast'!J11</f>
        <v>7141.9260000000013</v>
      </c>
      <c r="K7" s="132">
        <f>'Segmental forecast'!K11</f>
        <v>8690.418512000002</v>
      </c>
      <c r="L7" s="132">
        <f>'Segmental forecast'!L11</f>
        <v>7428.1528332840026</v>
      </c>
      <c r="M7" s="132">
        <f>'Segmental forecast'!M11</f>
        <v>6179.3681633881934</v>
      </c>
      <c r="N7" s="132">
        <f>'Segmental forecast'!N11</f>
        <v>4890.2881836258111</v>
      </c>
      <c r="O7" s="103"/>
      <c r="P7" s="103"/>
      <c r="Q7" s="103"/>
      <c r="R7" s="103"/>
      <c r="S7" s="103"/>
      <c r="T7" s="103"/>
    </row>
    <row r="8" spans="1:20" x14ac:dyDescent="0.25">
      <c r="A8" s="134" t="s">
        <v>129</v>
      </c>
      <c r="B8" s="111" t="str">
        <f>IFERROR(B7/A7-1,"nm")</f>
        <v>nm</v>
      </c>
      <c r="C8" s="111">
        <f t="shared" ref="C8:I8" si="3">IFERROR(C7/B7-1,"nm")</f>
        <v>9.6621781242617555E-2</v>
      </c>
      <c r="D8" s="111">
        <f t="shared" si="3"/>
        <v>6.5273588970271357E-2</v>
      </c>
      <c r="E8" s="111">
        <f t="shared" si="3"/>
        <v>-0.11445904954499497</v>
      </c>
      <c r="F8" s="111">
        <f t="shared" si="3"/>
        <v>0.10755880337976698</v>
      </c>
      <c r="G8" s="111">
        <f t="shared" si="3"/>
        <v>-0.38639175257731961</v>
      </c>
      <c r="H8" s="111">
        <f t="shared" si="3"/>
        <v>1.32627688172043</v>
      </c>
      <c r="I8" s="111">
        <f t="shared" si="3"/>
        <v>-9.67788530983682E-3</v>
      </c>
      <c r="J8" s="111"/>
      <c r="K8" s="111"/>
      <c r="L8" s="111"/>
      <c r="M8" s="111"/>
      <c r="N8" s="111"/>
      <c r="O8" s="111"/>
      <c r="P8" s="111"/>
      <c r="Q8" s="111"/>
      <c r="R8" s="111"/>
      <c r="S8" s="111"/>
      <c r="T8" s="111"/>
    </row>
    <row r="9" spans="1:20" x14ac:dyDescent="0.25">
      <c r="A9" s="134" t="s">
        <v>131</v>
      </c>
      <c r="B9" s="111">
        <f>IFERROR(B7/B$3,"nm")</f>
        <v>0.13832881278389594</v>
      </c>
      <c r="C9" s="111">
        <f t="shared" ref="C9:I9" si="4">IFERROR(C7/C$3,"nm")</f>
        <v>0.14337781072399308</v>
      </c>
      <c r="D9" s="111">
        <f t="shared" si="4"/>
        <v>0.14395924308588065</v>
      </c>
      <c r="E9" s="111">
        <f t="shared" si="4"/>
        <v>0.12031211363573921</v>
      </c>
      <c r="F9" s="111">
        <f t="shared" si="4"/>
        <v>0.12398701331901731</v>
      </c>
      <c r="G9" s="111">
        <f t="shared" si="4"/>
        <v>7.9565810229126011E-2</v>
      </c>
      <c r="H9" s="111">
        <f t="shared" si="4"/>
        <v>0.1554402981723472</v>
      </c>
      <c r="I9" s="111">
        <f t="shared" si="4"/>
        <v>0.14677799186469706</v>
      </c>
      <c r="J9" s="111"/>
      <c r="K9" s="111"/>
      <c r="L9" s="111"/>
      <c r="M9" s="111"/>
      <c r="N9" s="111"/>
      <c r="O9" s="111"/>
      <c r="P9" s="111"/>
      <c r="Q9" s="111"/>
      <c r="R9" s="111"/>
      <c r="S9" s="111"/>
      <c r="T9" s="111"/>
    </row>
    <row r="10" spans="1:20" x14ac:dyDescent="0.25">
      <c r="A10" s="109" t="s">
        <v>24</v>
      </c>
      <c r="B10" s="94">
        <f>Historicals!B8</f>
        <v>28</v>
      </c>
      <c r="C10" s="94">
        <f>Historicals!C8</f>
        <v>19</v>
      </c>
      <c r="D10" s="94">
        <f>Historicals!D8</f>
        <v>59</v>
      </c>
      <c r="E10" s="94">
        <f>Historicals!E8</f>
        <v>54</v>
      </c>
      <c r="F10" s="94">
        <f>Historicals!F8</f>
        <v>49</v>
      </c>
      <c r="G10" s="94">
        <f>Historicals!G8</f>
        <v>89</v>
      </c>
      <c r="H10" s="94">
        <f>Historicals!H8</f>
        <v>262</v>
      </c>
      <c r="I10" s="94">
        <f>Historicals!I8</f>
        <v>205</v>
      </c>
      <c r="J10" s="94">
        <f>-J50</f>
        <v>17.400000000000034</v>
      </c>
      <c r="K10" s="94">
        <f t="shared" ref="K10:N10" si="5">-K50</f>
        <v>-1.044000000000004</v>
      </c>
      <c r="L10" s="94">
        <f t="shared" si="5"/>
        <v>6.2640000000000251E-2</v>
      </c>
      <c r="M10" s="94">
        <f t="shared" si="5"/>
        <v>-3.7584000000000228E-3</v>
      </c>
      <c r="N10" s="94">
        <f t="shared" si="5"/>
        <v>2.2550400000000137E-4</v>
      </c>
      <c r="O10" s="94"/>
      <c r="P10" s="94"/>
      <c r="Q10" s="94" t="s">
        <v>230</v>
      </c>
      <c r="R10" s="94"/>
      <c r="S10" s="94"/>
      <c r="T10" s="94"/>
    </row>
    <row r="11" spans="1:20" x14ac:dyDescent="0.25">
      <c r="A11" s="131" t="s">
        <v>158</v>
      </c>
      <c r="B11" s="132">
        <f>Historicals!B10</f>
        <v>4205</v>
      </c>
      <c r="C11" s="132">
        <f>Historicals!C10</f>
        <v>4623</v>
      </c>
      <c r="D11" s="132">
        <f>Historicals!D10</f>
        <v>4886</v>
      </c>
      <c r="E11" s="132">
        <f>Historicals!E10</f>
        <v>4325</v>
      </c>
      <c r="F11" s="132">
        <f>Historicals!F10</f>
        <v>4801</v>
      </c>
      <c r="G11" s="132">
        <f>Historicals!G10</f>
        <v>2887</v>
      </c>
      <c r="H11" s="132">
        <f>Historicals!H10</f>
        <v>6661</v>
      </c>
      <c r="I11" s="132">
        <f>Historicals!I10</f>
        <v>6651</v>
      </c>
      <c r="J11" s="132">
        <f>J7-J10</f>
        <v>7124.5260000000017</v>
      </c>
      <c r="K11" s="132">
        <f t="shared" ref="K11:N11" si="6">K7-K10</f>
        <v>8691.4625120000019</v>
      </c>
      <c r="L11" s="132">
        <f t="shared" si="6"/>
        <v>7428.0901932840025</v>
      </c>
      <c r="M11" s="132">
        <f t="shared" si="6"/>
        <v>6179.3719217881935</v>
      </c>
      <c r="N11" s="132">
        <f t="shared" si="6"/>
        <v>4890.2879581218112</v>
      </c>
      <c r="O11" s="103"/>
      <c r="P11" s="103"/>
      <c r="Q11" s="103" t="s">
        <v>231</v>
      </c>
      <c r="R11" s="103"/>
      <c r="S11" s="103"/>
      <c r="T11" s="103"/>
    </row>
    <row r="12" spans="1:20" x14ac:dyDescent="0.25">
      <c r="A12" s="54" t="s">
        <v>26</v>
      </c>
      <c r="B12" s="94">
        <f>Historicals!B11</f>
        <v>932</v>
      </c>
      <c r="C12" s="94">
        <f>Historicals!C11</f>
        <v>863</v>
      </c>
      <c r="D12" s="94">
        <f>Historicals!D11</f>
        <v>646</v>
      </c>
      <c r="E12" s="94">
        <f>Historicals!E11</f>
        <v>2392</v>
      </c>
      <c r="F12" s="94">
        <f>Historicals!F11</f>
        <v>772</v>
      </c>
      <c r="G12" s="94">
        <f>Historicals!G11</f>
        <v>348</v>
      </c>
      <c r="H12" s="94">
        <f>Historicals!H11</f>
        <v>934</v>
      </c>
      <c r="I12" s="94">
        <f>Historicals!I11</f>
        <v>605</v>
      </c>
      <c r="J12" s="94">
        <f>I12-(I12*J13)</f>
        <v>635.25</v>
      </c>
      <c r="K12" s="94">
        <f>J12-(J12*K13)</f>
        <v>667.01250000000005</v>
      </c>
      <c r="L12" s="94">
        <f>K12-(K12*L13)</f>
        <v>700.36312500000008</v>
      </c>
      <c r="M12" s="94">
        <f t="shared" ref="M12:N12" si="7">L12-(L12*M13)</f>
        <v>735.38128125000003</v>
      </c>
      <c r="N12" s="94">
        <f t="shared" si="7"/>
        <v>772.15034531250001</v>
      </c>
      <c r="O12" s="94"/>
      <c r="P12" s="94"/>
      <c r="Q12" s="94" t="s">
        <v>229</v>
      </c>
      <c r="R12" s="94"/>
      <c r="S12" s="94"/>
      <c r="T12" s="94"/>
    </row>
    <row r="13" spans="1:20" x14ac:dyDescent="0.25">
      <c r="A13" s="107" t="s">
        <v>159</v>
      </c>
      <c r="B13" s="74">
        <v>0.222</v>
      </c>
      <c r="C13" s="74">
        <v>0.187</v>
      </c>
      <c r="D13" s="74">
        <v>0.13200000000000001</v>
      </c>
      <c r="E13" s="74">
        <v>0.55300000000000005</v>
      </c>
      <c r="F13" s="74">
        <v>0.161</v>
      </c>
      <c r="G13" s="74">
        <v>0.121</v>
      </c>
      <c r="H13" s="74">
        <v>0.14000000000000001</v>
      </c>
      <c r="I13" s="74">
        <v>9.0999999999999998E-2</v>
      </c>
      <c r="J13" s="108">
        <v>-0.05</v>
      </c>
      <c r="K13" s="108">
        <v>-0.05</v>
      </c>
      <c r="L13" s="108">
        <v>-0.05</v>
      </c>
      <c r="M13" s="108">
        <v>-0.05</v>
      </c>
      <c r="N13" s="108">
        <v>-0.05</v>
      </c>
      <c r="O13" s="108"/>
      <c r="P13" s="108"/>
      <c r="R13" s="129"/>
      <c r="S13" s="108"/>
      <c r="T13" s="108"/>
    </row>
    <row r="14" spans="1:20" ht="15.75" thickBot="1" x14ac:dyDescent="0.3">
      <c r="A14" s="101" t="s">
        <v>160</v>
      </c>
      <c r="B14" s="102">
        <f>B11-B12</f>
        <v>3273</v>
      </c>
      <c r="C14" s="102">
        <f t="shared" ref="C14:N14" si="8">C11-C12</f>
        <v>3760</v>
      </c>
      <c r="D14" s="102">
        <f t="shared" si="8"/>
        <v>4240</v>
      </c>
      <c r="E14" s="102">
        <f t="shared" si="8"/>
        <v>1933</v>
      </c>
      <c r="F14" s="102">
        <f t="shared" si="8"/>
        <v>4029</v>
      </c>
      <c r="G14" s="102">
        <f t="shared" si="8"/>
        <v>2539</v>
      </c>
      <c r="H14" s="102">
        <f t="shared" si="8"/>
        <v>5727</v>
      </c>
      <c r="I14" s="102">
        <f t="shared" si="8"/>
        <v>6046</v>
      </c>
      <c r="J14" s="102">
        <f t="shared" si="8"/>
        <v>6489.2760000000017</v>
      </c>
      <c r="K14" s="102">
        <f t="shared" si="8"/>
        <v>8024.4500120000021</v>
      </c>
      <c r="L14" s="102">
        <f t="shared" si="8"/>
        <v>6727.7270682840026</v>
      </c>
      <c r="M14" s="102">
        <f t="shared" si="8"/>
        <v>5443.9906405381935</v>
      </c>
      <c r="N14" s="102">
        <f t="shared" si="8"/>
        <v>4118.1376128093116</v>
      </c>
      <c r="O14" s="103"/>
      <c r="P14" s="103"/>
      <c r="Q14" s="142" t="s">
        <v>232</v>
      </c>
      <c r="R14" s="103"/>
      <c r="S14" s="103"/>
      <c r="T14" s="103"/>
    </row>
    <row r="15" spans="1:20" s="137" customFormat="1" ht="90.75" thickTop="1" x14ac:dyDescent="0.25">
      <c r="A15" s="137" t="s">
        <v>161</v>
      </c>
      <c r="B15" s="139">
        <f>Historicals!B18</f>
        <v>1768.8</v>
      </c>
      <c r="C15" s="139">
        <f>Historicals!C18</f>
        <v>1742.5</v>
      </c>
      <c r="D15" s="139">
        <f>Historicals!D18</f>
        <v>1692</v>
      </c>
      <c r="E15" s="139">
        <f>Historicals!E18</f>
        <v>1659.1</v>
      </c>
      <c r="F15" s="139">
        <f>Historicals!F18</f>
        <v>1618.4</v>
      </c>
      <c r="G15" s="139">
        <f>Historicals!G18</f>
        <v>1591.6</v>
      </c>
      <c r="H15" s="139">
        <f>Historicals!H18</f>
        <v>1609.4</v>
      </c>
      <c r="I15" s="138">
        <f>Historicals!I18</f>
        <v>1610.8</v>
      </c>
      <c r="J15" s="139">
        <f>I15+(J60/96.09)</f>
        <v>1557.1690290352794</v>
      </c>
      <c r="K15" s="139">
        <f>I15-J15</f>
        <v>53.630970964720518</v>
      </c>
      <c r="L15" s="139">
        <f t="shared" ref="L15:N15" si="9">J15-K15</f>
        <v>1503.5380580705589</v>
      </c>
      <c r="M15" s="139">
        <f t="shared" si="9"/>
        <v>-1449.9070871058384</v>
      </c>
      <c r="N15" s="139">
        <f t="shared" si="9"/>
        <v>2953.4451451763971</v>
      </c>
      <c r="O15" s="139" t="s">
        <v>244</v>
      </c>
      <c r="P15" s="147" t="s">
        <v>243</v>
      </c>
      <c r="Q15" s="138" t="s">
        <v>234</v>
      </c>
      <c r="R15" s="138"/>
      <c r="S15" s="138"/>
      <c r="T15" s="138"/>
    </row>
    <row r="16" spans="1:20" x14ac:dyDescent="0.25">
      <c r="A16" s="54" t="s">
        <v>162</v>
      </c>
      <c r="B16" s="113">
        <f>Historicals!B14</f>
        <v>1.9</v>
      </c>
      <c r="C16" s="113">
        <f>Historicals!C14</f>
        <v>2.21</v>
      </c>
      <c r="D16" s="113">
        <f>Historicals!D14</f>
        <v>1.19</v>
      </c>
      <c r="E16" s="113">
        <f>Historicals!E14</f>
        <v>1.19</v>
      </c>
      <c r="F16" s="113">
        <f>Historicals!F14</f>
        <v>2.5499999999999998</v>
      </c>
      <c r="G16" s="113">
        <f>Historicals!G14</f>
        <v>1.63</v>
      </c>
      <c r="H16" s="113">
        <f>Historicals!H14</f>
        <v>3.64</v>
      </c>
      <c r="I16" s="113">
        <f>Historicals!I14</f>
        <v>3.83</v>
      </c>
      <c r="J16" s="113">
        <f>I16*1.27</f>
        <v>4.8641000000000005</v>
      </c>
      <c r="K16" s="113">
        <f t="shared" ref="K16:N16" si="10">J16*1.27</f>
        <v>6.1774070000000005</v>
      </c>
      <c r="L16" s="113">
        <f t="shared" si="10"/>
        <v>7.8453068900000007</v>
      </c>
      <c r="M16" s="113">
        <f t="shared" si="10"/>
        <v>9.9635397503000007</v>
      </c>
      <c r="N16" s="113">
        <f t="shared" si="10"/>
        <v>12.653695482881002</v>
      </c>
      <c r="O16" s="113"/>
      <c r="P16" s="113"/>
      <c r="Q16" s="129"/>
      <c r="R16" s="113"/>
      <c r="S16" s="113"/>
      <c r="T16" s="113"/>
    </row>
    <row r="17" spans="1:20" x14ac:dyDescent="0.25">
      <c r="A17" s="54" t="s">
        <v>163</v>
      </c>
      <c r="B17" s="113">
        <f>Historicals!B15</f>
        <v>1.85</v>
      </c>
      <c r="C17" s="113">
        <f>Historicals!C15</f>
        <v>2.16</v>
      </c>
      <c r="D17" s="113">
        <f>Historicals!D15</f>
        <v>1.17</v>
      </c>
      <c r="E17" s="113">
        <f>Historicals!E15</f>
        <v>1.17</v>
      </c>
      <c r="F17" s="113">
        <f>Historicals!F15</f>
        <v>2.4900000000000002</v>
      </c>
      <c r="G17" s="113">
        <f>Historicals!G15</f>
        <v>1.6</v>
      </c>
      <c r="H17" s="113">
        <f>Historicals!H15</f>
        <v>3.56</v>
      </c>
      <c r="I17" s="113">
        <f>Historicals!I15</f>
        <v>3.75</v>
      </c>
      <c r="J17" s="113">
        <f>I17+(I17*J19)</f>
        <v>1.0845447165446505</v>
      </c>
      <c r="K17" s="113">
        <f t="shared" ref="K17:N17" si="11">J17+(J17*K19)</f>
        <v>0.46114217835432358</v>
      </c>
      <c r="L17" s="113">
        <f t="shared" si="11"/>
        <v>0.1449851351106175</v>
      </c>
      <c r="M17" s="113">
        <f t="shared" si="11"/>
        <v>2.2144377318350034E-2</v>
      </c>
      <c r="N17" s="113">
        <f t="shared" si="11"/>
        <v>-2.658324772804959E-3</v>
      </c>
      <c r="O17" s="113"/>
      <c r="P17" s="113"/>
      <c r="Q17" s="113" t="s">
        <v>227</v>
      </c>
      <c r="R17" s="113"/>
      <c r="S17" s="113"/>
      <c r="T17" s="113"/>
    </row>
    <row r="18" spans="1:20" x14ac:dyDescent="0.25">
      <c r="A18" s="107" t="s">
        <v>129</v>
      </c>
      <c r="B18" s="74" t="str">
        <f>IFERROR(B15/A15-1,"nm")</f>
        <v>nm</v>
      </c>
      <c r="C18" s="74">
        <f t="shared" ref="C18:I18" si="12">IFERROR(C15/B15-1,"nm")</f>
        <v>-1.4868837630031662E-2</v>
      </c>
      <c r="D18" s="74">
        <f t="shared" si="12"/>
        <v>-2.8981348637015736E-2</v>
      </c>
      <c r="E18" s="74">
        <f t="shared" si="12"/>
        <v>-1.9444444444444486E-2</v>
      </c>
      <c r="F18" s="74">
        <f t="shared" si="12"/>
        <v>-2.4531372430835918E-2</v>
      </c>
      <c r="G18" s="74">
        <f t="shared" si="12"/>
        <v>-1.6559565002471688E-2</v>
      </c>
      <c r="H18" s="74">
        <f t="shared" si="12"/>
        <v>1.1183714501131092E-2</v>
      </c>
      <c r="I18" s="74">
        <f t="shared" si="12"/>
        <v>8.6988939977628021E-4</v>
      </c>
      <c r="J18" s="74">
        <f t="shared" ref="J18" si="13">IFERROR(J15/I15-1,"nm")</f>
        <v>-3.3294618180233715E-2</v>
      </c>
      <c r="K18" s="74">
        <f t="shared" ref="K18" si="14">IFERROR(K15/J15-1,"nm")</f>
        <v>-0.96555867091837377</v>
      </c>
      <c r="L18" s="74">
        <f t="shared" ref="L18" si="15">IFERROR(L15/K15-1,"nm")</f>
        <v>27.034884154150689</v>
      </c>
      <c r="M18" s="74">
        <f t="shared" ref="M18" si="16">IFERROR(M15/L15-1,"nm")</f>
        <v>-1.9643301540144962</v>
      </c>
      <c r="N18" s="74">
        <f t="shared" ref="N18" si="17">IFERROR(N15/M15-1,"nm")</f>
        <v>-3.0369892467190938</v>
      </c>
      <c r="O18" s="74"/>
      <c r="P18" s="74"/>
      <c r="Q18" s="108"/>
      <c r="R18" s="108"/>
      <c r="S18" s="108"/>
      <c r="T18" s="108"/>
    </row>
    <row r="19" spans="1:20" x14ac:dyDescent="0.25">
      <c r="A19" s="107" t="s">
        <v>164</v>
      </c>
      <c r="B19" s="74">
        <f>IFERROR(-Historicals!B96/Historicals!B12,"nm")</f>
        <v>0.27467155514818209</v>
      </c>
      <c r="C19" s="74">
        <f>IFERROR(-Historicals!C96/Historicals!C12,"nm")</f>
        <v>0.27180851063829786</v>
      </c>
      <c r="D19" s="74">
        <f>IFERROR(-Historicals!D96/Historicals!D12,"nm")</f>
        <v>0.26721698113207548</v>
      </c>
      <c r="E19" s="74">
        <f>IFERROR(-Historicals!E96/Historicals!E12,"nm")</f>
        <v>0.64304190377651316</v>
      </c>
      <c r="F19" s="74">
        <f>IFERROR(-Historicals!F96/Historicals!F12,"nm")</f>
        <v>0.33060312732688013</v>
      </c>
      <c r="G19" s="74">
        <f>IFERROR(-Historicals!G96/Historicals!G12,"nm")</f>
        <v>0.57187869239858213</v>
      </c>
      <c r="H19" s="74">
        <f>IFERROR(-Historicals!H96/Historicals!H12,"nm")</f>
        <v>0.286013619696176</v>
      </c>
      <c r="I19" s="74">
        <f>IFERROR(-Historicals!I96/Historicals!I12,"nm")</f>
        <v>0.30383724776711873</v>
      </c>
      <c r="J19" s="74">
        <f>IFERROR(J62/J14,"nm")</f>
        <v>-0.7107880755880932</v>
      </c>
      <c r="K19" s="74">
        <f t="shared" ref="K19:N19" si="18">IFERROR(K62/K14,"nm")</f>
        <v>-0.57480574906720461</v>
      </c>
      <c r="L19" s="74">
        <f t="shared" si="18"/>
        <v>-0.68559558870102622</v>
      </c>
      <c r="M19" s="74">
        <f t="shared" si="18"/>
        <v>-0.84726449851941843</v>
      </c>
      <c r="N19" s="74">
        <f t="shared" si="18"/>
        <v>-1.1200451353672576</v>
      </c>
      <c r="O19" s="74"/>
      <c r="P19" s="74"/>
      <c r="Q19" s="74"/>
      <c r="R19" s="74"/>
      <c r="S19" s="74"/>
      <c r="T19" s="74"/>
    </row>
    <row r="20" spans="1:20" x14ac:dyDescent="0.25">
      <c r="A20" s="136" t="s">
        <v>165</v>
      </c>
      <c r="B20" s="133"/>
      <c r="C20" s="133"/>
      <c r="D20" s="133"/>
      <c r="E20" s="133"/>
      <c r="F20" s="133"/>
      <c r="G20" s="133"/>
      <c r="H20" s="133"/>
      <c r="I20" s="133"/>
      <c r="J20" s="81"/>
      <c r="K20" s="81"/>
      <c r="L20" s="81"/>
      <c r="M20" s="81"/>
      <c r="N20" s="81"/>
      <c r="O20" s="81"/>
      <c r="P20" s="81"/>
      <c r="Q20" s="81"/>
      <c r="R20" s="81"/>
      <c r="S20" s="81"/>
      <c r="T20" s="81"/>
    </row>
    <row r="21" spans="1:20" x14ac:dyDescent="0.25">
      <c r="A21" s="54" t="s">
        <v>166</v>
      </c>
      <c r="B21" s="94">
        <f>Historicals!B25</f>
        <v>3852</v>
      </c>
      <c r="C21" s="94">
        <f>Historicals!C25</f>
        <v>3138</v>
      </c>
      <c r="D21" s="94">
        <f>Historicals!D25</f>
        <v>3808</v>
      </c>
      <c r="E21" s="94">
        <f>Historicals!E25</f>
        <v>4249</v>
      </c>
      <c r="F21" s="94">
        <f>Historicals!F25</f>
        <v>4466</v>
      </c>
      <c r="G21" s="94">
        <f>Historicals!G25</f>
        <v>8348</v>
      </c>
      <c r="H21" s="94">
        <f>Historicals!H25</f>
        <v>9889</v>
      </c>
      <c r="I21" s="94">
        <f>Historicals!I25</f>
        <v>8574</v>
      </c>
      <c r="J21" s="94">
        <f>J69</f>
        <v>3713.7133699421975</v>
      </c>
      <c r="K21" s="94">
        <f t="shared" ref="K21:N21" si="19">K69</f>
        <v>-4974.147636170168</v>
      </c>
      <c r="L21" s="94">
        <f t="shared" si="19"/>
        <v>-24643.945385092393</v>
      </c>
      <c r="M21" s="94">
        <f t="shared" si="19"/>
        <v>-62704.950711369514</v>
      </c>
      <c r="N21" s="94">
        <f t="shared" si="19"/>
        <v>-132603.13379187702</v>
      </c>
      <c r="O21" s="94"/>
      <c r="P21" s="94"/>
      <c r="Q21" s="94"/>
      <c r="R21" s="94"/>
      <c r="S21" s="94"/>
      <c r="T21" s="94"/>
    </row>
    <row r="22" spans="1:20"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c r="S22" s="94"/>
      <c r="T22" s="94"/>
    </row>
    <row r="23" spans="1:20" x14ac:dyDescent="0.25">
      <c r="A23" s="54" t="s">
        <v>168</v>
      </c>
      <c r="B23" s="94">
        <f>Historicals!B28+Historicals!B27-Historicals!B41</f>
        <v>5564</v>
      </c>
      <c r="C23" s="94">
        <f>Historicals!C28+Historicals!C27-Historicals!C41</f>
        <v>5888</v>
      </c>
      <c r="D23" s="94">
        <f>Historicals!D28+Historicals!D27-Historicals!D41</f>
        <v>6684</v>
      </c>
      <c r="E23" s="94">
        <f>Historicals!E28+Historicals!E27-Historicals!E41</f>
        <v>6480</v>
      </c>
      <c r="F23" s="94">
        <f>Historicals!F28+Historicals!F27-Historicals!F41</f>
        <v>7282</v>
      </c>
      <c r="G23" s="94">
        <f>Historicals!G28+Historicals!G27-Historicals!G41</f>
        <v>7868</v>
      </c>
      <c r="H23" s="94">
        <f>Historicals!H28+Historicals!H27-Historicals!H41</f>
        <v>8481</v>
      </c>
      <c r="I23" s="94">
        <f>Historicals!I28+Historicals!I27-Historicals!I41</f>
        <v>9729</v>
      </c>
      <c r="J23" s="94">
        <f>I23+(I23*J24)</f>
        <v>12160.687630057804</v>
      </c>
      <c r="K23" s="94">
        <f t="shared" ref="K23:M23" si="21">J23+(J23*K24)</f>
        <v>15808.050403170171</v>
      </c>
      <c r="L23" s="94">
        <f t="shared" si="21"/>
        <v>21497.632733711398</v>
      </c>
      <c r="M23" s="94">
        <f t="shared" si="21"/>
        <v>30782.462796676809</v>
      </c>
      <c r="N23" s="94">
        <f>M23+(M23*N24)</f>
        <v>46736.401885337924</v>
      </c>
      <c r="O23" s="94"/>
      <c r="P23" s="94"/>
      <c r="Q23" s="142" t="s">
        <v>228</v>
      </c>
      <c r="R23" s="94"/>
      <c r="S23" s="94"/>
      <c r="T23" s="94"/>
    </row>
    <row r="24" spans="1:20" x14ac:dyDescent="0.25">
      <c r="A24" s="107" t="s">
        <v>155</v>
      </c>
      <c r="B24" s="74">
        <f>IFERROR(B23/B3,"nm")</f>
        <v>0.18182412339466031</v>
      </c>
      <c r="C24" s="74">
        <f t="shared" ref="C24:I24" si="22">IFERROR(C23/C3,"nm")</f>
        <v>0.1818631084754139</v>
      </c>
      <c r="D24" s="74">
        <f t="shared" si="22"/>
        <v>0.19458515283842795</v>
      </c>
      <c r="E24" s="74">
        <f t="shared" si="22"/>
        <v>0.17803665137236585</v>
      </c>
      <c r="F24" s="74">
        <f t="shared" si="22"/>
        <v>0.18615947030702765</v>
      </c>
      <c r="G24" s="74">
        <f t="shared" si="22"/>
        <v>0.21035745795791783</v>
      </c>
      <c r="H24" s="74">
        <f t="shared" si="22"/>
        <v>0.19042166240064665</v>
      </c>
      <c r="I24" s="74">
        <f t="shared" si="22"/>
        <v>0.20828516377649325</v>
      </c>
      <c r="J24" s="108">
        <f>I24*1.2</f>
        <v>0.24994219653179189</v>
      </c>
      <c r="K24" s="108">
        <f t="shared" ref="K24:M24" si="23">J24*1.2</f>
        <v>0.29993063583815027</v>
      </c>
      <c r="L24" s="108">
        <f t="shared" si="23"/>
        <v>0.35991676300578029</v>
      </c>
      <c r="M24" s="108">
        <f t="shared" si="23"/>
        <v>0.43190011560693636</v>
      </c>
      <c r="N24" s="108">
        <f t="shared" ref="N24" si="24">M24*1.2</f>
        <v>0.51828013872832357</v>
      </c>
      <c r="O24" s="108"/>
      <c r="P24" s="108"/>
      <c r="Q24" s="129"/>
      <c r="R24" s="108"/>
      <c r="S24" s="108"/>
      <c r="T24" s="108"/>
    </row>
    <row r="25" spans="1:20"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 t="shared" ref="J25:J40" si="25">I25</f>
        <v>2129</v>
      </c>
      <c r="K25" s="94">
        <f>I25</f>
        <v>2129</v>
      </c>
      <c r="L25" s="94">
        <f>I25</f>
        <v>2129</v>
      </c>
      <c r="M25" s="94">
        <f>I25</f>
        <v>2129</v>
      </c>
      <c r="N25" s="94">
        <f>I25</f>
        <v>2129</v>
      </c>
      <c r="O25" s="94"/>
      <c r="P25" s="94"/>
      <c r="Q25" s="94"/>
      <c r="R25" s="94"/>
      <c r="S25" s="94"/>
      <c r="T25" s="94"/>
    </row>
    <row r="26" spans="1:20" x14ac:dyDescent="0.25">
      <c r="A26" s="54" t="s">
        <v>170</v>
      </c>
      <c r="B26" s="94">
        <f>Historicals!B31</f>
        <v>3011</v>
      </c>
      <c r="C26" s="94">
        <f>Historicals!C31</f>
        <v>3520</v>
      </c>
      <c r="D26" s="94">
        <f>Historicals!D31</f>
        <v>3989</v>
      </c>
      <c r="E26" s="94">
        <f>Historicals!E31</f>
        <v>4454</v>
      </c>
      <c r="F26" s="94">
        <f>Historicals!F31</f>
        <v>4744</v>
      </c>
      <c r="G26" s="94">
        <f>Historicals!G31</f>
        <v>4866</v>
      </c>
      <c r="H26" s="94">
        <f>Historicals!H31</f>
        <v>4904</v>
      </c>
      <c r="I26" s="94">
        <f>Historicals!I31</f>
        <v>4791</v>
      </c>
      <c r="J26" s="94">
        <f>I26+(-J53)-J47</f>
        <v>4859.625</v>
      </c>
      <c r="K26" s="94">
        <f t="shared" ref="K26:M26" si="26">J26+(-K53)-K47</f>
        <v>4950.9217450000006</v>
      </c>
      <c r="L26" s="94">
        <f t="shared" si="26"/>
        <v>5034.7739966650006</v>
      </c>
      <c r="M26" s="94">
        <f t="shared" si="26"/>
        <v>5059.1886233649057</v>
      </c>
      <c r="N26" s="94">
        <f>M26+(-N53)-N47</f>
        <v>4933.8889588370857</v>
      </c>
      <c r="O26" s="94"/>
      <c r="P26" s="94"/>
      <c r="Q26" s="94"/>
      <c r="R26" s="94"/>
      <c r="S26" s="94"/>
      <c r="T26" s="94"/>
    </row>
    <row r="27" spans="1:20" x14ac:dyDescent="0.25">
      <c r="A27" s="54" t="s">
        <v>171</v>
      </c>
      <c r="B27" s="94">
        <f>Historicals!B33</f>
        <v>281</v>
      </c>
      <c r="C27" s="94">
        <f>Historicals!C33</f>
        <v>281</v>
      </c>
      <c r="D27" s="94">
        <f>Historicals!D33</f>
        <v>283</v>
      </c>
      <c r="E27" s="94">
        <f>Historicals!E33</f>
        <v>285</v>
      </c>
      <c r="F27" s="94">
        <f>Historicals!F33</f>
        <v>283</v>
      </c>
      <c r="G27" s="94">
        <f>Historicals!G33</f>
        <v>274</v>
      </c>
      <c r="H27" s="94">
        <f>Historicals!H33</f>
        <v>269</v>
      </c>
      <c r="I27" s="94">
        <f>Historicals!I33</f>
        <v>286</v>
      </c>
      <c r="J27" s="94">
        <f t="shared" si="25"/>
        <v>286</v>
      </c>
      <c r="K27" s="94">
        <f>I27</f>
        <v>286</v>
      </c>
      <c r="L27" s="94">
        <f>I27</f>
        <v>286</v>
      </c>
      <c r="M27" s="94">
        <f>I27</f>
        <v>286</v>
      </c>
      <c r="N27" s="94">
        <f>I27</f>
        <v>286</v>
      </c>
      <c r="O27" s="94"/>
      <c r="P27" s="94"/>
      <c r="Q27" s="94"/>
      <c r="R27" s="94"/>
      <c r="S27" s="94"/>
      <c r="T27" s="94"/>
    </row>
    <row r="28" spans="1:20" x14ac:dyDescent="0.25">
      <c r="A28" s="54" t="s">
        <v>40</v>
      </c>
      <c r="B28" s="94">
        <f>Historicals!B34</f>
        <v>131</v>
      </c>
      <c r="C28" s="94">
        <f>Historicals!C34</f>
        <v>131</v>
      </c>
      <c r="D28" s="94">
        <f>Historicals!D34</f>
        <v>139</v>
      </c>
      <c r="E28" s="94">
        <f>Historicals!E34</f>
        <v>154</v>
      </c>
      <c r="F28" s="94">
        <f>Historicals!F34</f>
        <v>154</v>
      </c>
      <c r="G28" s="94">
        <f>Historicals!G34</f>
        <v>223</v>
      </c>
      <c r="H28" s="94">
        <f>Historicals!H34</f>
        <v>242</v>
      </c>
      <c r="I28" s="94">
        <f>Historicals!I34</f>
        <v>284</v>
      </c>
      <c r="J28" s="94">
        <f t="shared" si="25"/>
        <v>284</v>
      </c>
      <c r="K28" s="94">
        <f>I28</f>
        <v>284</v>
      </c>
      <c r="L28" s="94">
        <f>I28</f>
        <v>284</v>
      </c>
      <c r="M28" s="94">
        <f>I28</f>
        <v>284</v>
      </c>
      <c r="N28" s="94">
        <f>I28</f>
        <v>284</v>
      </c>
      <c r="O28" s="94"/>
      <c r="P28" s="94"/>
      <c r="Q28" s="94"/>
      <c r="R28" s="94"/>
      <c r="S28" s="94"/>
      <c r="T28" s="94"/>
    </row>
    <row r="29" spans="1:20" x14ac:dyDescent="0.25">
      <c r="A29" s="110" t="s">
        <v>38</v>
      </c>
      <c r="B29" s="94">
        <f>Historicals!B32</f>
        <v>0</v>
      </c>
      <c r="C29" s="94">
        <f>Historicals!C32</f>
        <v>0</v>
      </c>
      <c r="D29" s="94">
        <f>Historicals!D32</f>
        <v>0</v>
      </c>
      <c r="E29" s="94">
        <f>Historicals!E32</f>
        <v>0</v>
      </c>
      <c r="F29" s="94">
        <f>Historicals!F32</f>
        <v>0</v>
      </c>
      <c r="G29" s="94">
        <f>Historicals!G32</f>
        <v>3097</v>
      </c>
      <c r="H29" s="94">
        <f>Historicals!H32</f>
        <v>3113</v>
      </c>
      <c r="I29" s="94">
        <f>Historicals!I32</f>
        <v>2926</v>
      </c>
      <c r="J29" s="94">
        <f t="shared" si="25"/>
        <v>2926</v>
      </c>
      <c r="K29" s="94">
        <f>I29</f>
        <v>2926</v>
      </c>
      <c r="L29" s="94">
        <f>I29</f>
        <v>2926</v>
      </c>
      <c r="M29" s="94">
        <f>I29</f>
        <v>2926</v>
      </c>
      <c r="N29" s="94">
        <f>I29</f>
        <v>2926</v>
      </c>
      <c r="O29" s="94"/>
      <c r="P29" s="94"/>
      <c r="Q29" s="94"/>
      <c r="R29" s="94"/>
      <c r="S29" s="94"/>
      <c r="T29" s="94"/>
    </row>
    <row r="30" spans="1:20" x14ac:dyDescent="0.25">
      <c r="A30" s="54" t="s">
        <v>172</v>
      </c>
      <c r="B30" s="94">
        <f>Historicals!B35</f>
        <v>2587</v>
      </c>
      <c r="C30" s="94">
        <f>Historicals!C35</f>
        <v>2439</v>
      </c>
      <c r="D30" s="94">
        <f>Historicals!D35</f>
        <v>2787</v>
      </c>
      <c r="E30" s="94">
        <f>Historicals!E35</f>
        <v>2509</v>
      </c>
      <c r="F30" s="94">
        <f>Historicals!F35</f>
        <v>2011</v>
      </c>
      <c r="G30" s="94">
        <f>Historicals!G35</f>
        <v>2326</v>
      </c>
      <c r="H30" s="94">
        <f>Historicals!H35</f>
        <v>2921</v>
      </c>
      <c r="I30" s="94">
        <f>Historicals!I35</f>
        <v>3821</v>
      </c>
      <c r="J30" s="94">
        <f t="shared" si="25"/>
        <v>3821</v>
      </c>
      <c r="K30" s="94">
        <f>I30</f>
        <v>3821</v>
      </c>
      <c r="L30" s="94">
        <f>I30</f>
        <v>3821</v>
      </c>
      <c r="M30" s="94">
        <f>I30</f>
        <v>3821</v>
      </c>
      <c r="N30" s="94">
        <f>I30</f>
        <v>3821</v>
      </c>
      <c r="O30" s="94"/>
      <c r="P30" s="94"/>
      <c r="Q30" s="94"/>
      <c r="R30" s="94"/>
      <c r="S30" s="94"/>
      <c r="T30" s="94"/>
    </row>
    <row r="31" spans="1:20" ht="15.75" thickBot="1" x14ac:dyDescent="0.3">
      <c r="A31" s="101" t="s">
        <v>173</v>
      </c>
      <c r="B31" s="102">
        <f>B21+B22+B25+B26+B27+B28+B29+B30+B23</f>
        <v>19466</v>
      </c>
      <c r="C31" s="102">
        <f t="shared" ref="C31:N31" si="27">C21+C22+C25+C26+C27+C28+C29+C30+C23</f>
        <v>19205</v>
      </c>
      <c r="D31" s="102">
        <f t="shared" si="27"/>
        <v>21211</v>
      </c>
      <c r="E31" s="102">
        <f t="shared" si="27"/>
        <v>20257</v>
      </c>
      <c r="F31" s="102">
        <f t="shared" si="27"/>
        <v>21105</v>
      </c>
      <c r="G31" s="102">
        <f t="shared" si="27"/>
        <v>29094</v>
      </c>
      <c r="H31" s="102">
        <f t="shared" si="27"/>
        <v>34904</v>
      </c>
      <c r="I31" s="102">
        <f t="shared" si="27"/>
        <v>36963</v>
      </c>
      <c r="J31" s="102">
        <f t="shared" si="27"/>
        <v>34603.025999999998</v>
      </c>
      <c r="K31" s="102">
        <f t="shared" si="27"/>
        <v>29653.824512000003</v>
      </c>
      <c r="L31" s="102">
        <f t="shared" si="27"/>
        <v>15757.461345284006</v>
      </c>
      <c r="M31" s="102">
        <f t="shared" si="27"/>
        <v>-12994.299291327799</v>
      </c>
      <c r="N31" s="102">
        <f t="shared" si="27"/>
        <v>-67063.842947702011</v>
      </c>
      <c r="O31" s="103"/>
      <c r="P31" s="103" t="s">
        <v>241</v>
      </c>
      <c r="Q31" s="103"/>
      <c r="R31" s="103"/>
      <c r="S31" s="103"/>
      <c r="T31" s="103"/>
    </row>
    <row r="32" spans="1:20" ht="15.75" thickTop="1" x14ac:dyDescent="0.25">
      <c r="A32" s="54" t="s">
        <v>174</v>
      </c>
      <c r="B32" s="94">
        <f>B33+B34</f>
        <v>181</v>
      </c>
      <c r="C32" s="94">
        <f t="shared" ref="C32:I32" si="28">C33+C34</f>
        <v>45</v>
      </c>
      <c r="D32" s="94">
        <f t="shared" si="28"/>
        <v>331</v>
      </c>
      <c r="E32" s="94">
        <f t="shared" si="28"/>
        <v>342</v>
      </c>
      <c r="F32" s="94">
        <f t="shared" si="28"/>
        <v>15</v>
      </c>
      <c r="G32" s="94">
        <f t="shared" si="28"/>
        <v>251</v>
      </c>
      <c r="H32" s="94">
        <f t="shared" si="28"/>
        <v>2</v>
      </c>
      <c r="I32" s="94">
        <f t="shared" si="28"/>
        <v>510</v>
      </c>
      <c r="J32" s="94">
        <f t="shared" si="25"/>
        <v>510</v>
      </c>
      <c r="K32" s="94">
        <f t="shared" ref="K32:N40" si="29">J32</f>
        <v>510</v>
      </c>
      <c r="L32" s="94">
        <f t="shared" si="29"/>
        <v>510</v>
      </c>
      <c r="M32" s="94">
        <f t="shared" si="29"/>
        <v>510</v>
      </c>
      <c r="N32" s="94">
        <f t="shared" si="29"/>
        <v>510</v>
      </c>
      <c r="O32" s="94"/>
      <c r="P32" s="94"/>
      <c r="Q32" s="113"/>
      <c r="R32" s="94"/>
      <c r="S32" s="94"/>
      <c r="T32" s="94"/>
    </row>
    <row r="33" spans="1:20" x14ac:dyDescent="0.25">
      <c r="A33" s="109"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5"/>
        <v>500</v>
      </c>
      <c r="K33" s="94">
        <f t="shared" si="29"/>
        <v>500</v>
      </c>
      <c r="L33" s="94">
        <f t="shared" si="29"/>
        <v>500</v>
      </c>
      <c r="M33" s="94">
        <f t="shared" si="29"/>
        <v>500</v>
      </c>
      <c r="N33" s="94">
        <f t="shared" si="29"/>
        <v>500</v>
      </c>
      <c r="O33" s="94"/>
      <c r="P33" s="94"/>
      <c r="Q33" s="94"/>
      <c r="R33" s="94"/>
      <c r="S33" s="94"/>
      <c r="T33" s="94"/>
    </row>
    <row r="34" spans="1:20" x14ac:dyDescent="0.25">
      <c r="A34" s="109"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5"/>
        <v>10</v>
      </c>
      <c r="K34" s="94">
        <f t="shared" si="29"/>
        <v>10</v>
      </c>
      <c r="L34" s="94">
        <f t="shared" si="29"/>
        <v>10</v>
      </c>
      <c r="M34" s="94">
        <f t="shared" si="29"/>
        <v>10</v>
      </c>
      <c r="N34" s="94">
        <f t="shared" si="29"/>
        <v>10</v>
      </c>
      <c r="O34" s="94"/>
      <c r="P34" s="94"/>
      <c r="Q34" s="94"/>
      <c r="R34" s="94"/>
      <c r="S34" s="94"/>
      <c r="T34" s="94"/>
    </row>
    <row r="35" spans="1:20"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5"/>
        <v>6862</v>
      </c>
      <c r="K35" s="94">
        <f t="shared" si="29"/>
        <v>6862</v>
      </c>
      <c r="L35" s="94">
        <f t="shared" si="29"/>
        <v>6862</v>
      </c>
      <c r="M35" s="94">
        <f t="shared" si="29"/>
        <v>6862</v>
      </c>
      <c r="N35" s="94">
        <f t="shared" si="29"/>
        <v>6862</v>
      </c>
      <c r="O35" s="94"/>
      <c r="P35" s="94"/>
      <c r="Q35" s="94"/>
      <c r="R35" s="94"/>
      <c r="S35" s="94"/>
      <c r="T35" s="94"/>
    </row>
    <row r="36" spans="1:20"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5"/>
        <v>8920</v>
      </c>
      <c r="K36" s="94">
        <f t="shared" si="29"/>
        <v>8920</v>
      </c>
      <c r="L36" s="94">
        <f t="shared" si="29"/>
        <v>8920</v>
      </c>
      <c r="M36" s="94">
        <f t="shared" si="29"/>
        <v>8920</v>
      </c>
      <c r="N36" s="94">
        <f t="shared" si="29"/>
        <v>8920</v>
      </c>
      <c r="O36" s="94"/>
      <c r="P36" s="94"/>
      <c r="Q36" s="94"/>
      <c r="R36" s="94"/>
      <c r="S36" s="94"/>
      <c r="T36" s="94"/>
    </row>
    <row r="37" spans="1:20" x14ac:dyDescent="0.25">
      <c r="A37" s="110"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5"/>
        <v>2777</v>
      </c>
      <c r="K37" s="94">
        <f t="shared" si="29"/>
        <v>2777</v>
      </c>
      <c r="L37" s="94">
        <f t="shared" si="29"/>
        <v>2777</v>
      </c>
      <c r="M37" s="94">
        <f t="shared" si="29"/>
        <v>2777</v>
      </c>
      <c r="N37" s="94">
        <f t="shared" si="29"/>
        <v>2777</v>
      </c>
      <c r="O37" s="94"/>
      <c r="P37" s="94"/>
      <c r="Q37" s="94"/>
      <c r="R37" s="94"/>
      <c r="S37" s="94"/>
      <c r="T37" s="94"/>
    </row>
    <row r="38" spans="1:20"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5"/>
        <v>2613</v>
      </c>
      <c r="K38" s="94">
        <f t="shared" si="29"/>
        <v>2613</v>
      </c>
      <c r="L38" s="94">
        <f t="shared" si="29"/>
        <v>2613</v>
      </c>
      <c r="M38" s="94">
        <f t="shared" si="29"/>
        <v>2613</v>
      </c>
      <c r="N38" s="94">
        <f t="shared" si="29"/>
        <v>2613</v>
      </c>
      <c r="O38" s="94"/>
      <c r="P38" s="94"/>
      <c r="Q38" s="94"/>
      <c r="R38" s="94"/>
      <c r="S38" s="94"/>
      <c r="T38" s="94"/>
    </row>
    <row r="39" spans="1:20" x14ac:dyDescent="0.25">
      <c r="A39" s="54" t="s">
        <v>177</v>
      </c>
      <c r="B39" s="94">
        <f>B40+B41+B42</f>
        <v>12707</v>
      </c>
      <c r="C39" s="94">
        <f t="shared" ref="C39:H39" si="30">C40+C41+C42</f>
        <v>12258</v>
      </c>
      <c r="D39" s="94">
        <f t="shared" si="30"/>
        <v>12407</v>
      </c>
      <c r="E39" s="94">
        <f t="shared" si="30"/>
        <v>9812</v>
      </c>
      <c r="F39" s="94">
        <f t="shared" si="30"/>
        <v>9040</v>
      </c>
      <c r="G39" s="94">
        <f t="shared" si="30"/>
        <v>8055</v>
      </c>
      <c r="H39" s="94">
        <f t="shared" si="30"/>
        <v>12767</v>
      </c>
      <c r="I39" s="94">
        <f>I40+I41+I42</f>
        <v>15281</v>
      </c>
      <c r="J39" s="94">
        <f t="shared" ref="J39:N39" si="31">J40+J41+J42</f>
        <v>20528.75</v>
      </c>
      <c r="K39" s="94">
        <f t="shared" si="31"/>
        <v>25808.262500000001</v>
      </c>
      <c r="L39" s="94">
        <f t="shared" si="31"/>
        <v>31121.125625000001</v>
      </c>
      <c r="M39" s="94">
        <f t="shared" si="31"/>
        <v>36469.006906249997</v>
      </c>
      <c r="N39" s="94">
        <f t="shared" si="31"/>
        <v>41853.657251562501</v>
      </c>
      <c r="O39" s="94"/>
      <c r="P39" s="94"/>
      <c r="Q39" s="94" t="s">
        <v>235</v>
      </c>
      <c r="R39" s="94"/>
      <c r="S39" s="94"/>
      <c r="T39" s="94"/>
    </row>
    <row r="40" spans="1:20" x14ac:dyDescent="0.25">
      <c r="A40" s="109" t="s">
        <v>178</v>
      </c>
      <c r="B40" s="94">
        <f>Historicals!B54</f>
        <v>3</v>
      </c>
      <c r="C40" s="94">
        <f>Historicals!C54</f>
        <v>3</v>
      </c>
      <c r="D40" s="94">
        <f>Historicals!D54</f>
        <v>3</v>
      </c>
      <c r="E40" s="94">
        <f>Historicals!E54</f>
        <v>3</v>
      </c>
      <c r="F40" s="94">
        <f>Historicals!F54</f>
        <v>3</v>
      </c>
      <c r="G40" s="94">
        <f>Historicals!G54</f>
        <v>3</v>
      </c>
      <c r="H40" s="94">
        <f>Historicals!H54</f>
        <v>3</v>
      </c>
      <c r="I40" s="94">
        <f>Historicals!I54</f>
        <v>3</v>
      </c>
      <c r="J40" s="94">
        <f t="shared" si="25"/>
        <v>3</v>
      </c>
      <c r="K40" s="94">
        <f t="shared" si="29"/>
        <v>3</v>
      </c>
      <c r="L40" s="94">
        <f t="shared" si="29"/>
        <v>3</v>
      </c>
      <c r="M40" s="94">
        <f t="shared" si="29"/>
        <v>3</v>
      </c>
      <c r="N40" s="94">
        <f t="shared" si="29"/>
        <v>3</v>
      </c>
      <c r="O40" s="94"/>
      <c r="P40" s="94"/>
      <c r="Q40" s="94"/>
      <c r="R40" s="94"/>
      <c r="S40" s="94"/>
      <c r="T40" s="94"/>
    </row>
    <row r="41" spans="1:20" s="137" customFormat="1" x14ac:dyDescent="0.25">
      <c r="A41" s="148" t="s">
        <v>179</v>
      </c>
      <c r="B41" s="138">
        <f>Historicals!B57</f>
        <v>4685</v>
      </c>
      <c r="C41" s="138">
        <f>Historicals!C57</f>
        <v>4151</v>
      </c>
      <c r="D41" s="138">
        <f>Historicals!D57</f>
        <v>6907</v>
      </c>
      <c r="E41" s="138">
        <f>Historicals!E57</f>
        <v>3517</v>
      </c>
      <c r="F41" s="138">
        <f>Historicals!F57</f>
        <v>1643</v>
      </c>
      <c r="G41" s="138">
        <f>Historicals!G57</f>
        <v>-191</v>
      </c>
      <c r="H41" s="138">
        <f>Historicals!H57</f>
        <v>3179</v>
      </c>
      <c r="I41" s="138">
        <f>Historicals!I57</f>
        <v>3476</v>
      </c>
      <c r="J41" s="138">
        <f>(I41+J12)-J62</f>
        <v>8723.75</v>
      </c>
      <c r="K41" s="138">
        <f t="shared" ref="K41:N41" si="32">(J41+K12)-K62</f>
        <v>14003.262500000001</v>
      </c>
      <c r="L41" s="138">
        <f t="shared" si="32"/>
        <v>19316.125625000001</v>
      </c>
      <c r="M41" s="138">
        <f t="shared" si="32"/>
        <v>24664.006906250001</v>
      </c>
      <c r="N41" s="138">
        <f t="shared" si="32"/>
        <v>30048.657251562501</v>
      </c>
      <c r="O41" s="138" t="s">
        <v>245</v>
      </c>
      <c r="P41" s="138"/>
      <c r="Q41" s="138"/>
      <c r="R41" s="138"/>
      <c r="S41" s="138"/>
      <c r="T41" s="138"/>
    </row>
    <row r="42" spans="1:20" x14ac:dyDescent="0.25">
      <c r="A42" s="109" t="s">
        <v>180</v>
      </c>
      <c r="B42" s="94">
        <f>Historicals!B55+Historicals!B56</f>
        <v>8019</v>
      </c>
      <c r="C42" s="94">
        <f>Historicals!C55+Historicals!C56</f>
        <v>8104</v>
      </c>
      <c r="D42" s="94">
        <f>Historicals!D55+Historicals!D56</f>
        <v>5497</v>
      </c>
      <c r="E42" s="94">
        <f>Historicals!E55+Historicals!E56</f>
        <v>6292</v>
      </c>
      <c r="F42" s="94">
        <f>Historicals!F55+Historicals!F56</f>
        <v>7394</v>
      </c>
      <c r="G42" s="94">
        <f>Historicals!G55+Historicals!G56</f>
        <v>8243</v>
      </c>
      <c r="H42" s="94">
        <f>Historicals!H55+Historicals!H56</f>
        <v>9585</v>
      </c>
      <c r="I42" s="94">
        <f>Historicals!I55+Historicals!I56</f>
        <v>11802</v>
      </c>
      <c r="J42" s="94">
        <f>I42</f>
        <v>11802</v>
      </c>
      <c r="K42" s="94">
        <f>I42</f>
        <v>11802</v>
      </c>
      <c r="L42" s="94">
        <f>I42</f>
        <v>11802</v>
      </c>
      <c r="M42" s="94">
        <f>I42</f>
        <v>11802</v>
      </c>
      <c r="N42" s="94">
        <f>I42</f>
        <v>11802</v>
      </c>
      <c r="O42" s="94"/>
      <c r="P42" s="94"/>
      <c r="Q42" s="94"/>
      <c r="R42" s="94"/>
      <c r="S42" s="94"/>
      <c r="T42" s="94"/>
    </row>
    <row r="43" spans="1:20" ht="15.75" thickBot="1" x14ac:dyDescent="0.3">
      <c r="A43" s="101" t="s">
        <v>181</v>
      </c>
      <c r="B43" s="102">
        <f>B39+B32+B35+B36+B37+B38</f>
        <v>19466</v>
      </c>
      <c r="C43" s="102">
        <f t="shared" ref="C43:N43" si="33">C39+C32+C35+C36+C37+C38</f>
        <v>19205</v>
      </c>
      <c r="D43" s="102">
        <f t="shared" si="33"/>
        <v>21211</v>
      </c>
      <c r="E43" s="102">
        <f t="shared" si="33"/>
        <v>20257</v>
      </c>
      <c r="F43" s="102">
        <f t="shared" si="33"/>
        <v>21105</v>
      </c>
      <c r="G43" s="102">
        <f t="shared" si="33"/>
        <v>29094</v>
      </c>
      <c r="H43" s="102">
        <f t="shared" si="33"/>
        <v>34904</v>
      </c>
      <c r="I43" s="102">
        <f t="shared" si="33"/>
        <v>36963</v>
      </c>
      <c r="J43" s="102">
        <f t="shared" si="33"/>
        <v>42210.75</v>
      </c>
      <c r="K43" s="102">
        <f t="shared" si="33"/>
        <v>47490.262499999997</v>
      </c>
      <c r="L43" s="102">
        <f t="shared" si="33"/>
        <v>52803.125625000001</v>
      </c>
      <c r="M43" s="102">
        <f t="shared" si="33"/>
        <v>58151.006906249997</v>
      </c>
      <c r="N43" s="102">
        <f t="shared" si="33"/>
        <v>63535.657251562501</v>
      </c>
      <c r="O43" s="103"/>
      <c r="P43" s="103"/>
      <c r="Q43" s="103"/>
      <c r="R43" s="103"/>
      <c r="S43" s="103"/>
      <c r="T43" s="103"/>
    </row>
    <row r="44" spans="1:20" s="81" customFormat="1" ht="15.75" thickTop="1" x14ac:dyDescent="0.25">
      <c r="A44" s="114" t="s">
        <v>182</v>
      </c>
      <c r="B44" s="114">
        <f>B43-B31</f>
        <v>0</v>
      </c>
      <c r="C44" s="114">
        <f t="shared" ref="C44:N44" si="34">C43-C31</f>
        <v>0</v>
      </c>
      <c r="D44" s="114">
        <f t="shared" si="34"/>
        <v>0</v>
      </c>
      <c r="E44" s="114">
        <f t="shared" si="34"/>
        <v>0</v>
      </c>
      <c r="F44" s="114">
        <f t="shared" si="34"/>
        <v>0</v>
      </c>
      <c r="G44" s="114">
        <f t="shared" si="34"/>
        <v>0</v>
      </c>
      <c r="H44" s="114">
        <f t="shared" si="34"/>
        <v>0</v>
      </c>
      <c r="I44" s="114">
        <f t="shared" si="34"/>
        <v>0</v>
      </c>
      <c r="J44" s="114">
        <f t="shared" si="34"/>
        <v>7607.724000000002</v>
      </c>
      <c r="K44" s="114">
        <f t="shared" si="34"/>
        <v>17836.437987999994</v>
      </c>
      <c r="L44" s="114">
        <f t="shared" si="34"/>
        <v>37045.664279715995</v>
      </c>
      <c r="M44" s="114">
        <f t="shared" si="34"/>
        <v>71145.306197577796</v>
      </c>
      <c r="N44" s="114">
        <f t="shared" si="34"/>
        <v>130599.50019926451</v>
      </c>
      <c r="O44" s="114"/>
      <c r="P44" s="114"/>
      <c r="Q44" s="114"/>
      <c r="R44" s="114"/>
      <c r="S44" s="114"/>
      <c r="T44" s="114"/>
    </row>
    <row r="45" spans="1:20" x14ac:dyDescent="0.25">
      <c r="A45" s="136" t="s">
        <v>183</v>
      </c>
      <c r="B45" s="133"/>
      <c r="C45" s="133"/>
      <c r="D45" s="133"/>
      <c r="E45" s="133"/>
      <c r="F45" s="133"/>
      <c r="G45" s="133"/>
      <c r="H45" s="133"/>
      <c r="I45" s="133"/>
      <c r="J45" s="81"/>
      <c r="K45" s="81"/>
      <c r="L45" s="81"/>
      <c r="M45" s="81"/>
      <c r="N45" s="81"/>
      <c r="O45" s="81"/>
      <c r="P45" s="81"/>
      <c r="Q45" s="81"/>
      <c r="R45" s="133"/>
      <c r="S45" s="81"/>
      <c r="T45" s="81"/>
    </row>
    <row r="46" spans="1:20" x14ac:dyDescent="0.25">
      <c r="A46" s="81" t="s">
        <v>134</v>
      </c>
      <c r="B46" s="104">
        <f>'Segmental forecast'!B11</f>
        <v>4233</v>
      </c>
      <c r="C46" s="104">
        <f>'Segmental forecast'!C11</f>
        <v>4642</v>
      </c>
      <c r="D46" s="104">
        <f>'Segmental forecast'!D11</f>
        <v>4945</v>
      </c>
      <c r="E46" s="104">
        <f>'Segmental forecast'!E11</f>
        <v>4379</v>
      </c>
      <c r="F46" s="104">
        <f>'Segmental forecast'!F11</f>
        <v>4850</v>
      </c>
      <c r="G46" s="104">
        <f>'Segmental forecast'!G11</f>
        <v>2976</v>
      </c>
      <c r="H46" s="104">
        <f>'Segmental forecast'!H11</f>
        <v>6923</v>
      </c>
      <c r="I46" s="104">
        <f>'Segmental forecast'!I11</f>
        <v>6856</v>
      </c>
      <c r="J46" s="104">
        <f>'Segmental forecast'!J11</f>
        <v>7141.9260000000013</v>
      </c>
      <c r="K46" s="104">
        <f>'Segmental forecast'!K11</f>
        <v>8690.418512000002</v>
      </c>
      <c r="L46" s="104">
        <f>'Segmental forecast'!L11</f>
        <v>7428.1528332840026</v>
      </c>
      <c r="M46" s="104">
        <f>'Segmental forecast'!M11</f>
        <v>6179.3681633881934</v>
      </c>
      <c r="N46" s="104">
        <f>'Segmental forecast'!N11</f>
        <v>4890.2881836258111</v>
      </c>
      <c r="O46" s="104"/>
      <c r="P46" s="104"/>
      <c r="Q46" s="104"/>
      <c r="R46" s="104"/>
      <c r="S46" s="104"/>
      <c r="T46" s="104"/>
    </row>
    <row r="47" spans="1:20" x14ac:dyDescent="0.25">
      <c r="A47" s="54" t="s">
        <v>132</v>
      </c>
      <c r="B47" s="115">
        <f>'Segmental forecast'!B8</f>
        <v>606</v>
      </c>
      <c r="C47" s="115">
        <f>'Segmental forecast'!C8</f>
        <v>649</v>
      </c>
      <c r="D47" s="115">
        <f>'Segmental forecast'!D8</f>
        <v>706</v>
      </c>
      <c r="E47" s="115">
        <f>'Segmental forecast'!E8</f>
        <v>747</v>
      </c>
      <c r="F47" s="115">
        <f>'Segmental forecast'!F8</f>
        <v>705</v>
      </c>
      <c r="G47" s="115">
        <f>'Segmental forecast'!G8</f>
        <v>721</v>
      </c>
      <c r="H47" s="115">
        <f>'Segmental forecast'!H8</f>
        <v>744</v>
      </c>
      <c r="I47" s="115">
        <f>'Segmental forecast'!I8</f>
        <v>717</v>
      </c>
      <c r="J47" s="115">
        <f>'Segmental forecast'!J8</f>
        <v>735.55200000000002</v>
      </c>
      <c r="K47" s="115">
        <f>'Segmental forecast'!K8</f>
        <v>779.20182399999999</v>
      </c>
      <c r="L47" s="115">
        <f>'Segmental forecast'!L8</f>
        <v>861.5888905679999</v>
      </c>
      <c r="M47" s="115">
        <f>'Segmental forecast'!M8</f>
        <v>1006.2680912283759</v>
      </c>
      <c r="N47" s="115">
        <f>'Segmental forecast'!N8</f>
        <v>1253.5914109302933</v>
      </c>
      <c r="O47" s="115"/>
      <c r="P47" s="115"/>
      <c r="Q47" s="115"/>
      <c r="R47" s="115"/>
      <c r="S47" s="115"/>
      <c r="T47" s="115"/>
    </row>
    <row r="48" spans="1:20" s="137" customFormat="1" x14ac:dyDescent="0.25">
      <c r="A48" s="137" t="s">
        <v>184</v>
      </c>
      <c r="B48" s="138">
        <f>B12</f>
        <v>932</v>
      </c>
      <c r="C48" s="138">
        <f t="shared" ref="C48:I48" si="35">C12</f>
        <v>863</v>
      </c>
      <c r="D48" s="138">
        <f t="shared" si="35"/>
        <v>646</v>
      </c>
      <c r="E48" s="138">
        <f t="shared" si="35"/>
        <v>2392</v>
      </c>
      <c r="F48" s="138">
        <f t="shared" si="35"/>
        <v>772</v>
      </c>
      <c r="G48" s="138">
        <f t="shared" si="35"/>
        <v>348</v>
      </c>
      <c r="H48" s="138">
        <f t="shared" si="35"/>
        <v>934</v>
      </c>
      <c r="I48" s="138">
        <f t="shared" si="35"/>
        <v>605</v>
      </c>
      <c r="J48" s="138">
        <f>J12</f>
        <v>635.25</v>
      </c>
      <c r="K48" s="138">
        <f t="shared" ref="K48:N48" si="36">K12</f>
        <v>667.01250000000005</v>
      </c>
      <c r="L48" s="138">
        <f t="shared" si="36"/>
        <v>700.36312500000008</v>
      </c>
      <c r="M48" s="138">
        <f t="shared" si="36"/>
        <v>735.38128125000003</v>
      </c>
      <c r="N48" s="138">
        <f t="shared" si="36"/>
        <v>772.15034531250001</v>
      </c>
      <c r="O48" s="138" t="s">
        <v>247</v>
      </c>
      <c r="P48" s="138"/>
      <c r="Q48" s="138"/>
      <c r="R48" s="138"/>
      <c r="S48" s="138"/>
      <c r="T48" s="138"/>
    </row>
    <row r="49" spans="1:20" x14ac:dyDescent="0.25">
      <c r="A49" s="81" t="s">
        <v>185</v>
      </c>
      <c r="B49" s="104">
        <f>B46-B48</f>
        <v>3301</v>
      </c>
      <c r="C49" s="104">
        <f t="shared" ref="C49:I49" si="37">C46-C48</f>
        <v>3779</v>
      </c>
      <c r="D49" s="104">
        <f t="shared" si="37"/>
        <v>4299</v>
      </c>
      <c r="E49" s="104">
        <f t="shared" si="37"/>
        <v>1987</v>
      </c>
      <c r="F49" s="104">
        <f t="shared" si="37"/>
        <v>4078</v>
      </c>
      <c r="G49" s="104">
        <f t="shared" si="37"/>
        <v>2628</v>
      </c>
      <c r="H49" s="104">
        <f t="shared" si="37"/>
        <v>5989</v>
      </c>
      <c r="I49" s="104">
        <f t="shared" si="37"/>
        <v>6251</v>
      </c>
      <c r="J49" s="104">
        <f>J46-J48</f>
        <v>6506.6760000000013</v>
      </c>
      <c r="K49" s="104">
        <f t="shared" ref="K49:M49" si="38">K46-K48</f>
        <v>8023.4060120000022</v>
      </c>
      <c r="L49" s="104">
        <f t="shared" si="38"/>
        <v>6727.7897082840027</v>
      </c>
      <c r="M49" s="104">
        <f t="shared" si="38"/>
        <v>5443.9868821381933</v>
      </c>
      <c r="N49" s="104">
        <f>N46-N48</f>
        <v>4118.1378383133115</v>
      </c>
      <c r="O49" s="104"/>
      <c r="P49" s="104"/>
      <c r="Q49" s="104"/>
      <c r="R49" s="104"/>
      <c r="S49" s="104"/>
      <c r="T49" s="104"/>
    </row>
    <row r="50" spans="1:20"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13">
        <f>(I50*J51)+I50</f>
        <v>-17.400000000000034</v>
      </c>
      <c r="K50" s="113">
        <f t="shared" ref="K50:N50" si="39">(J50*K51)+J50</f>
        <v>1.044000000000004</v>
      </c>
      <c r="L50" s="113">
        <f t="shared" si="39"/>
        <v>-6.2640000000000251E-2</v>
      </c>
      <c r="M50" s="113">
        <f t="shared" si="39"/>
        <v>3.7584000000000228E-3</v>
      </c>
      <c r="N50" s="113">
        <f t="shared" si="39"/>
        <v>-2.2550400000000137E-4</v>
      </c>
      <c r="O50" s="113"/>
      <c r="P50" s="113"/>
      <c r="Q50" s="129" t="s">
        <v>225</v>
      </c>
      <c r="R50" s="94"/>
      <c r="S50" s="94"/>
      <c r="T50" s="94"/>
    </row>
    <row r="51" spans="1:20" s="143" customFormat="1" ht="12.75" x14ac:dyDescent="0.2">
      <c r="A51" s="143" t="s">
        <v>238</v>
      </c>
      <c r="B51" s="140" t="str">
        <f>IFERROR(B50/A50-1,"nm")</f>
        <v>nm</v>
      </c>
      <c r="C51" s="140">
        <f t="shared" ref="C51:E51" si="40">IFERROR(C50/B50-1,"nm")</f>
        <v>0.320754716981132</v>
      </c>
      <c r="D51" s="140">
        <f t="shared" si="40"/>
        <v>0.39999999999999991</v>
      </c>
      <c r="E51" s="140">
        <f t="shared" si="40"/>
        <v>0.27551020408163263</v>
      </c>
      <c r="F51" s="140">
        <f t="shared" ref="F51" si="41">IFERROR(F50/E50-1,"nm")</f>
        <v>0.22399999999999998</v>
      </c>
      <c r="G51" s="140">
        <f t="shared" ref="G51:H51" si="42">IFERROR(G50/F50-1,"nm")</f>
        <v>-8.496732026143794E-2</v>
      </c>
      <c r="H51" s="140">
        <f t="shared" si="42"/>
        <v>1.092857142857143</v>
      </c>
      <c r="I51" s="140">
        <f t="shared" ref="I51" si="43">IFERROR(I50/H50-1,"nm")</f>
        <v>-1.0238907849829393E-2</v>
      </c>
      <c r="J51" s="140">
        <v>-1.06</v>
      </c>
      <c r="K51" s="140">
        <v>-1.06</v>
      </c>
      <c r="L51" s="140">
        <v>-1.06</v>
      </c>
      <c r="M51" s="140">
        <v>-1.06</v>
      </c>
      <c r="N51" s="140">
        <v>-1.06</v>
      </c>
      <c r="O51" s="140"/>
      <c r="P51" s="140"/>
      <c r="Q51" s="144"/>
      <c r="R51" s="145"/>
      <c r="S51" s="145"/>
      <c r="T51" s="145"/>
    </row>
    <row r="52" spans="1:20" s="137" customFormat="1" x14ac:dyDescent="0.25">
      <c r="A52" s="137" t="s">
        <v>187</v>
      </c>
      <c r="B52" s="138">
        <v>3434</v>
      </c>
      <c r="C52" s="138">
        <f>B22-C22</f>
        <v>-247</v>
      </c>
      <c r="D52" s="138">
        <f t="shared" ref="D52:I52" si="44">C22-D22</f>
        <v>-52</v>
      </c>
      <c r="E52" s="138">
        <f t="shared" si="44"/>
        <v>1375</v>
      </c>
      <c r="F52" s="138">
        <f t="shared" si="44"/>
        <v>799</v>
      </c>
      <c r="G52" s="138">
        <f t="shared" si="44"/>
        <v>-242</v>
      </c>
      <c r="H52" s="138">
        <f t="shared" si="44"/>
        <v>-3148</v>
      </c>
      <c r="I52" s="138">
        <f t="shared" si="44"/>
        <v>-836</v>
      </c>
      <c r="J52" s="138">
        <f>-(J23-I23)</f>
        <v>-2431.6876300578042</v>
      </c>
      <c r="K52" s="138">
        <f t="shared" ref="K52:N52" si="45">-(K23-J23)</f>
        <v>-3647.362773112367</v>
      </c>
      <c r="L52" s="138">
        <f t="shared" si="45"/>
        <v>-5689.5823305412268</v>
      </c>
      <c r="M52" s="138">
        <f t="shared" si="45"/>
        <v>-9284.8300629654113</v>
      </c>
      <c r="N52" s="138">
        <f t="shared" si="45"/>
        <v>-15953.939088661115</v>
      </c>
      <c r="O52" s="138" t="s">
        <v>248</v>
      </c>
      <c r="P52" s="138"/>
      <c r="Q52" s="138"/>
      <c r="R52" s="138"/>
      <c r="S52" s="138"/>
      <c r="T52" s="138"/>
    </row>
    <row r="53" spans="1:20" x14ac:dyDescent="0.25">
      <c r="A53" s="54" t="s">
        <v>135</v>
      </c>
      <c r="B53" s="94">
        <f>-'Segmental forecast'!B14</f>
        <v>-963</v>
      </c>
      <c r="C53" s="94">
        <f>-'Segmental forecast'!C14</f>
        <v>-1143</v>
      </c>
      <c r="D53" s="94">
        <f>-'Segmental forecast'!D14</f>
        <v>-1105</v>
      </c>
      <c r="E53" s="94">
        <f>-'Segmental forecast'!E14</f>
        <v>-1028</v>
      </c>
      <c r="F53" s="94">
        <f>-'Segmental forecast'!F14</f>
        <v>-1119</v>
      </c>
      <c r="G53" s="94">
        <f>-'Segmental forecast'!G14</f>
        <v>-1086</v>
      </c>
      <c r="H53" s="94">
        <f>-'Segmental forecast'!H14</f>
        <v>-695</v>
      </c>
      <c r="I53" s="94">
        <f>-'Segmental forecast'!I14</f>
        <v>-758</v>
      </c>
      <c r="J53" s="94">
        <f>-'Segmental forecast'!J14</f>
        <v>-804.17700000000002</v>
      </c>
      <c r="K53" s="94">
        <f>-'Segmental forecast'!K14</f>
        <v>-870.49856899999997</v>
      </c>
      <c r="L53" s="94">
        <f>-'Segmental forecast'!L14</f>
        <v>-945.44114223299994</v>
      </c>
      <c r="M53" s="94">
        <f>-'Segmental forecast'!M14</f>
        <v>-1030.6827179282809</v>
      </c>
      <c r="N53" s="94">
        <f>-'Segmental forecast'!N14</f>
        <v>-1128.2917464024729</v>
      </c>
      <c r="O53" s="94"/>
      <c r="P53" s="94"/>
      <c r="Q53" s="94"/>
      <c r="R53" s="94"/>
      <c r="S53" s="94"/>
      <c r="T53" s="94"/>
    </row>
    <row r="54" spans="1:20" x14ac:dyDescent="0.25">
      <c r="A54" s="81" t="s">
        <v>188</v>
      </c>
      <c r="B54" s="104">
        <f>B49+B52+B53-B47</f>
        <v>5166</v>
      </c>
      <c r="C54" s="104">
        <f t="shared" ref="C54:N54" si="46">C49+C52+C53-C47</f>
        <v>1740</v>
      </c>
      <c r="D54" s="104">
        <f t="shared" si="46"/>
        <v>2436</v>
      </c>
      <c r="E54" s="104">
        <f t="shared" si="46"/>
        <v>1587</v>
      </c>
      <c r="F54" s="104">
        <f t="shared" si="46"/>
        <v>3053</v>
      </c>
      <c r="G54" s="104">
        <f t="shared" si="46"/>
        <v>579</v>
      </c>
      <c r="H54" s="104">
        <f t="shared" si="46"/>
        <v>1402</v>
      </c>
      <c r="I54" s="104">
        <f t="shared" si="46"/>
        <v>3940</v>
      </c>
      <c r="J54" s="104">
        <f t="shared" si="46"/>
        <v>2535.2593699421968</v>
      </c>
      <c r="K54" s="104">
        <f t="shared" si="46"/>
        <v>2726.3428458876351</v>
      </c>
      <c r="L54" s="104">
        <f t="shared" si="46"/>
        <v>-768.82265505822397</v>
      </c>
      <c r="M54" s="104">
        <f t="shared" si="46"/>
        <v>-5877.7939899838748</v>
      </c>
      <c r="N54" s="104">
        <f t="shared" si="46"/>
        <v>-14217.684407680568</v>
      </c>
      <c r="O54" s="104"/>
      <c r="P54" s="104"/>
      <c r="Q54" s="104"/>
      <c r="R54" s="104"/>
      <c r="S54" s="104"/>
      <c r="T54" s="104"/>
    </row>
    <row r="55" spans="1:20" s="137" customFormat="1" x14ac:dyDescent="0.25">
      <c r="A55" s="137" t="s">
        <v>189</v>
      </c>
      <c r="B55" s="138">
        <f>Historicals!B76-'The Statements'!B46-'The Statements'!B47-'The Statements'!B52</f>
        <v>-3593</v>
      </c>
      <c r="C55" s="138">
        <f>Historicals!C76-'The Statements'!C46-'The Statements'!C47-'The Statements'!C52</f>
        <v>-1948</v>
      </c>
      <c r="D55" s="138">
        <f>Historicals!D76-'The Statements'!D46-'The Statements'!D47-'The Statements'!D52</f>
        <v>-1753</v>
      </c>
      <c r="E55" s="138">
        <f>Historicals!E76-'The Statements'!E46-'The Statements'!E47-'The Statements'!E52</f>
        <v>-1546</v>
      </c>
      <c r="F55" s="138">
        <f>Historicals!F76-'The Statements'!F46-'The Statements'!F47-'The Statements'!F52</f>
        <v>-451</v>
      </c>
      <c r="G55" s="138">
        <f>Historicals!G76-'The Statements'!G46-'The Statements'!G47-'The Statements'!G52</f>
        <v>-970</v>
      </c>
      <c r="H55" s="138">
        <f>Historicals!H76-'The Statements'!H46-'The Statements'!H47-'The Statements'!H52</f>
        <v>2138</v>
      </c>
      <c r="I55" s="138">
        <f>Historicals!I76-'The Statements'!I46-'The Statements'!I47-'The Statements'!I52</f>
        <v>-1549</v>
      </c>
      <c r="J55" s="138"/>
      <c r="K55" s="138"/>
      <c r="L55" s="138"/>
      <c r="M55" s="138"/>
      <c r="N55" s="138"/>
      <c r="O55" s="138" t="s">
        <v>246</v>
      </c>
      <c r="P55" s="138"/>
      <c r="Q55" s="138"/>
      <c r="R55" s="138"/>
      <c r="S55" s="138"/>
      <c r="T55" s="138"/>
    </row>
    <row r="56" spans="1:20" x14ac:dyDescent="0.25">
      <c r="A56" s="105" t="s">
        <v>190</v>
      </c>
      <c r="B56" s="106">
        <f>B46+B47+B52+B55</f>
        <v>4680</v>
      </c>
      <c r="C56" s="106">
        <f t="shared" ref="C56:N56" si="47">C46+C47+C52+C55</f>
        <v>3096</v>
      </c>
      <c r="D56" s="106">
        <f t="shared" si="47"/>
        <v>3846</v>
      </c>
      <c r="E56" s="106">
        <f t="shared" si="47"/>
        <v>4955</v>
      </c>
      <c r="F56" s="106">
        <f t="shared" si="47"/>
        <v>5903</v>
      </c>
      <c r="G56" s="106">
        <f t="shared" si="47"/>
        <v>2485</v>
      </c>
      <c r="H56" s="106">
        <f t="shared" si="47"/>
        <v>6657</v>
      </c>
      <c r="I56" s="106">
        <f t="shared" si="47"/>
        <v>5188</v>
      </c>
      <c r="J56" s="106">
        <f t="shared" si="47"/>
        <v>5445.7903699421968</v>
      </c>
      <c r="K56" s="106">
        <f t="shared" si="47"/>
        <v>5822.2575628876348</v>
      </c>
      <c r="L56" s="106">
        <f t="shared" si="47"/>
        <v>2600.1593933107761</v>
      </c>
      <c r="M56" s="106">
        <f t="shared" si="47"/>
        <v>-2099.1938083488421</v>
      </c>
      <c r="N56" s="106">
        <f t="shared" si="47"/>
        <v>-9810.0594941050113</v>
      </c>
      <c r="O56" s="103"/>
      <c r="P56" s="103"/>
      <c r="Q56" s="103"/>
      <c r="R56" s="103"/>
      <c r="S56" s="103"/>
      <c r="T56" s="104"/>
    </row>
    <row r="57" spans="1:20" x14ac:dyDescent="0.25">
      <c r="A57" s="54" t="s">
        <v>191</v>
      </c>
      <c r="B57" s="94">
        <v>0</v>
      </c>
      <c r="C57" s="94">
        <v>0</v>
      </c>
      <c r="D57" s="94">
        <v>0</v>
      </c>
      <c r="E57" s="94">
        <v>0</v>
      </c>
      <c r="F57" s="94">
        <v>0</v>
      </c>
      <c r="G57" s="94">
        <v>0</v>
      </c>
      <c r="H57" s="94">
        <v>0</v>
      </c>
      <c r="I57" s="94">
        <v>0</v>
      </c>
      <c r="J57" s="94">
        <f>I57</f>
        <v>0</v>
      </c>
      <c r="K57" s="94">
        <f>I57</f>
        <v>0</v>
      </c>
      <c r="L57" s="94">
        <f>I57</f>
        <v>0</v>
      </c>
      <c r="M57" s="94">
        <f>I57</f>
        <v>0</v>
      </c>
      <c r="N57" s="94">
        <f>I57</f>
        <v>0</v>
      </c>
      <c r="O57" s="94"/>
      <c r="P57" s="94"/>
      <c r="Q57" s="94"/>
      <c r="R57" s="94"/>
      <c r="S57" s="94"/>
      <c r="T57" s="94"/>
    </row>
    <row r="58" spans="1:20" s="137" customFormat="1" x14ac:dyDescent="0.25">
      <c r="A58" s="137" t="s">
        <v>192</v>
      </c>
      <c r="B58" s="138">
        <f>Historicals!B78+Historicals!B79+Historicals!B80+Historicals!B81+Historicals!B83+Historicals!B84+Historicals!B85</f>
        <v>788</v>
      </c>
      <c r="C58" s="138">
        <f>Historicals!C78+Historicals!C79+Historicals!C80+Historicals!C81+Historicals!C83+Historicals!C84+Historicals!C85</f>
        <v>109</v>
      </c>
      <c r="D58" s="138">
        <f>Historicals!D78+Historicals!D79+Historicals!D80+Historicals!D81+Historicals!D83+Historicals!D84+Historicals!D85</f>
        <v>97</v>
      </c>
      <c r="E58" s="138">
        <f>Historicals!E78+Historicals!E79+Historicals!E80+Historicals!E81+Historicals!E83+Historicals!E84+Historicals!E85</f>
        <v>1304</v>
      </c>
      <c r="F58" s="138">
        <f>Historicals!F78+Historicals!F79+Historicals!F80+Historicals!F81+Historicals!F83+Historicals!F84+Historicals!F85</f>
        <v>855</v>
      </c>
      <c r="G58" s="138">
        <f>Historicals!G78+Historicals!G79+Historicals!G80+Historicals!G81+Historicals!G83+Historicals!G84+Historicals!G85</f>
        <v>58</v>
      </c>
      <c r="H58" s="138">
        <f>Historicals!H78+Historicals!H79+Historicals!H80+Historicals!H81+Historicals!H83+Historicals!H84+Historicals!H85</f>
        <v>-3105</v>
      </c>
      <c r="I58" s="138">
        <f>Historicals!I78+Historicals!I79+Historicals!I80+Historicals!I81+Historicals!I83+Historicals!I84+Historicals!I85</f>
        <v>-766</v>
      </c>
      <c r="J58" s="138"/>
      <c r="K58" s="138"/>
      <c r="L58" s="138"/>
      <c r="M58" s="138"/>
      <c r="N58" s="138"/>
      <c r="O58" s="138" t="s">
        <v>246</v>
      </c>
      <c r="P58" s="138"/>
      <c r="Q58" s="138"/>
      <c r="R58" s="138"/>
      <c r="S58" s="138"/>
      <c r="T58" s="138"/>
    </row>
    <row r="59" spans="1:20" x14ac:dyDescent="0.25">
      <c r="A59" s="105" t="s">
        <v>193</v>
      </c>
      <c r="B59" s="106">
        <f>B53+B57+B58</f>
        <v>-175</v>
      </c>
      <c r="C59" s="106">
        <f t="shared" ref="C59:N59" si="48">C53+C57+C58</f>
        <v>-1034</v>
      </c>
      <c r="D59" s="106">
        <f t="shared" si="48"/>
        <v>-1008</v>
      </c>
      <c r="E59" s="106">
        <f t="shared" si="48"/>
        <v>276</v>
      </c>
      <c r="F59" s="106">
        <f t="shared" si="48"/>
        <v>-264</v>
      </c>
      <c r="G59" s="106">
        <f t="shared" si="48"/>
        <v>-1028</v>
      </c>
      <c r="H59" s="106">
        <f t="shared" si="48"/>
        <v>-3800</v>
      </c>
      <c r="I59" s="106">
        <f t="shared" si="48"/>
        <v>-1524</v>
      </c>
      <c r="J59" s="106">
        <f t="shared" si="48"/>
        <v>-804.17700000000002</v>
      </c>
      <c r="K59" s="106">
        <f t="shared" si="48"/>
        <v>-870.49856899999997</v>
      </c>
      <c r="L59" s="106">
        <f t="shared" si="48"/>
        <v>-945.44114223299994</v>
      </c>
      <c r="M59" s="106">
        <f t="shared" si="48"/>
        <v>-1030.6827179282809</v>
      </c>
      <c r="N59" s="106">
        <f t="shared" si="48"/>
        <v>-1128.2917464024729</v>
      </c>
      <c r="O59" s="103"/>
      <c r="P59" s="103"/>
      <c r="Q59" s="103"/>
      <c r="R59" s="103"/>
      <c r="S59" s="103"/>
      <c r="T59" s="103"/>
    </row>
    <row r="60" spans="1:20" x14ac:dyDescent="0.25">
      <c r="A60" s="54" t="s">
        <v>194</v>
      </c>
      <c r="B60" s="94">
        <f>Historicals!B93+Historicals!B95</f>
        <v>-2020</v>
      </c>
      <c r="C60" s="94">
        <f>Historicals!C93+Historicals!C95</f>
        <v>-2731</v>
      </c>
      <c r="D60" s="94">
        <f>Historicals!D93+Historicals!D95</f>
        <v>-2734</v>
      </c>
      <c r="E60" s="94">
        <f>Historicals!E93+Historicals!E95</f>
        <v>-3521</v>
      </c>
      <c r="F60" s="94">
        <f>Historicals!F93+Historicals!F95</f>
        <v>-3586</v>
      </c>
      <c r="G60" s="94">
        <f>Historicals!G93+Historicals!G95</f>
        <v>-2182</v>
      </c>
      <c r="H60" s="94">
        <f>Historicals!H93+Historicals!H95</f>
        <v>564</v>
      </c>
      <c r="I60" s="94">
        <f>Historicals!I93+Historicals!I95</f>
        <v>-2863</v>
      </c>
      <c r="J60" s="113">
        <f>(I60*0.8)+I60</f>
        <v>-5153.3999999999996</v>
      </c>
      <c r="K60" s="113">
        <f t="shared" ref="K60:N60" si="49">(J60*0.8)+J60</f>
        <v>-9276.119999999999</v>
      </c>
      <c r="L60" s="113">
        <f t="shared" si="49"/>
        <v>-16697.016</v>
      </c>
      <c r="M60" s="113">
        <f t="shared" si="49"/>
        <v>-30054.628799999999</v>
      </c>
      <c r="N60" s="113">
        <f t="shared" si="49"/>
        <v>-54098.331839999999</v>
      </c>
      <c r="O60" s="113"/>
      <c r="P60" s="113" t="s">
        <v>242</v>
      </c>
      <c r="Q60" s="54" t="s">
        <v>236</v>
      </c>
      <c r="R60" s="94" t="s">
        <v>224</v>
      </c>
      <c r="S60" s="94"/>
      <c r="T60" s="94"/>
    </row>
    <row r="61" spans="1:20" x14ac:dyDescent="0.25">
      <c r="A61" s="107" t="s">
        <v>129</v>
      </c>
      <c r="B61" s="74" t="str">
        <f>IFERROR(B60/A60-1,"nm")</f>
        <v>nm</v>
      </c>
      <c r="C61" s="74">
        <f t="shared" ref="C61:J61" si="50">IFERROR(C60/B60-1,"nm")</f>
        <v>0.35198019801980207</v>
      </c>
      <c r="D61" s="74">
        <f t="shared" si="50"/>
        <v>1.0984987184181616E-3</v>
      </c>
      <c r="E61" s="74">
        <f t="shared" si="50"/>
        <v>0.28785662033650339</v>
      </c>
      <c r="F61" s="74">
        <f t="shared" si="50"/>
        <v>1.8460664583924924E-2</v>
      </c>
      <c r="G61" s="74">
        <f t="shared" si="50"/>
        <v>-0.39152258784160621</v>
      </c>
      <c r="H61" s="74">
        <f t="shared" si="50"/>
        <v>-1.2584784601283228</v>
      </c>
      <c r="I61" s="74">
        <f t="shared" si="50"/>
        <v>-6.0762411347517729</v>
      </c>
      <c r="J61" s="74">
        <f t="shared" si="50"/>
        <v>0.79999999999999982</v>
      </c>
      <c r="K61" s="74">
        <f t="shared" ref="K61" si="51">IFERROR(K60/J60-1,"nm")</f>
        <v>0.79999999999999982</v>
      </c>
      <c r="L61" s="74">
        <f t="shared" ref="L61" si="52">IFERROR(L60/K60-1,"nm")</f>
        <v>0.80000000000000027</v>
      </c>
      <c r="M61" s="74">
        <f t="shared" ref="M61" si="53">IFERROR(M60/L60-1,"nm")</f>
        <v>0.8</v>
      </c>
      <c r="N61" s="74">
        <f t="shared" ref="N61" si="54">IFERROR(N60/M60-1,"nm")</f>
        <v>0.8</v>
      </c>
      <c r="O61" s="74"/>
      <c r="P61" s="74"/>
      <c r="Q61" s="108"/>
      <c r="R61" s="108"/>
      <c r="S61" s="108"/>
      <c r="T61" s="108"/>
    </row>
    <row r="62" spans="1:20" x14ac:dyDescent="0.25">
      <c r="A62" s="54" t="s">
        <v>195</v>
      </c>
      <c r="B62" s="94">
        <f>Historicals!B96</f>
        <v>-899</v>
      </c>
      <c r="C62" s="94">
        <f>Historicals!C96</f>
        <v>-1022</v>
      </c>
      <c r="D62" s="94">
        <f>Historicals!D96</f>
        <v>-1133</v>
      </c>
      <c r="E62" s="94">
        <f>Historicals!E96</f>
        <v>-1243</v>
      </c>
      <c r="F62" s="94">
        <f>Historicals!F96</f>
        <v>-1332</v>
      </c>
      <c r="G62" s="94">
        <f>Historicals!G96</f>
        <v>-1452</v>
      </c>
      <c r="H62" s="94">
        <f>Historicals!H96</f>
        <v>-1638</v>
      </c>
      <c r="I62" s="94">
        <f>Historicals!I96</f>
        <v>-1837</v>
      </c>
      <c r="J62" s="94">
        <f>-(I17*1.23*1000)</f>
        <v>-4612.5</v>
      </c>
      <c r="K62" s="94">
        <f t="shared" ref="K62:N62" si="55">J62</f>
        <v>-4612.5</v>
      </c>
      <c r="L62" s="94">
        <f t="shared" si="55"/>
        <v>-4612.5</v>
      </c>
      <c r="M62" s="94">
        <f t="shared" si="55"/>
        <v>-4612.5</v>
      </c>
      <c r="N62" s="94">
        <f t="shared" si="55"/>
        <v>-4612.5</v>
      </c>
      <c r="O62" s="94"/>
      <c r="P62" s="146"/>
      <c r="Q62" s="94" t="s">
        <v>226</v>
      </c>
      <c r="R62" s="94"/>
      <c r="S62" s="94"/>
      <c r="T62" s="94"/>
    </row>
    <row r="63" spans="1:20" x14ac:dyDescent="0.25">
      <c r="A63" s="54" t="s">
        <v>196</v>
      </c>
      <c r="B63" s="94">
        <f>Historicals!B88+Historicals!B89+Historicals!B91+Historicals!B90+Historicals!B92</f>
        <v>-89</v>
      </c>
      <c r="C63" s="94">
        <f>Historicals!C88+Historicals!C89+Historicals!C91+Historicals!C90+Historicals!C92</f>
        <v>801</v>
      </c>
      <c r="D63" s="94">
        <f>Historicals!D88+Historicals!D89+Historicals!D91+Historicals!D90+Historicals!D92</f>
        <v>1748</v>
      </c>
      <c r="E63" s="94">
        <f>Historicals!E88+Historicals!E89+Historicals!E91+Historicals!E90+Historicals!E92</f>
        <v>13</v>
      </c>
      <c r="F63" s="94">
        <f>Historicals!F88+Historicals!F89+Historicals!F91+Historicals!F90+Historicals!F92</f>
        <v>-325</v>
      </c>
      <c r="G63" s="94">
        <f>Historicals!G88+Historicals!G89+Historicals!G91+Historicals!G90+Historicals!G92</f>
        <v>6183</v>
      </c>
      <c r="H63" s="94">
        <f>Historicals!H88+Historicals!H89+Historicals!H91+Historicals!H90+Historicals!H92</f>
        <v>-249</v>
      </c>
      <c r="I63" s="94">
        <f>Historicals!I88+Historicals!I89+Historicals!I91+Historicals!I90+Historicals!I92</f>
        <v>15</v>
      </c>
      <c r="J63" s="94">
        <f>I63-H63</f>
        <v>264</v>
      </c>
      <c r="K63" s="94">
        <f t="shared" ref="K63:M63" si="56">J63-I63</f>
        <v>249</v>
      </c>
      <c r="L63" s="94">
        <f t="shared" si="56"/>
        <v>-15</v>
      </c>
      <c r="M63" s="94">
        <f t="shared" si="56"/>
        <v>-264</v>
      </c>
      <c r="N63" s="94">
        <f>M63-L63</f>
        <v>-249</v>
      </c>
      <c r="O63" s="94"/>
      <c r="P63" s="94"/>
      <c r="Q63" s="94"/>
      <c r="R63" s="94"/>
      <c r="S63" s="94"/>
      <c r="T63" s="94"/>
    </row>
    <row r="64" spans="1:20" s="137" customFormat="1" x14ac:dyDescent="0.25">
      <c r="A64" s="137" t="s">
        <v>197</v>
      </c>
      <c r="B64" s="138">
        <f>Historicals!B94+Historicals!B97+Historicals!B98</f>
        <v>218</v>
      </c>
      <c r="C64" s="138">
        <f>Historicals!C94+Historicals!C97+Historicals!C98</f>
        <v>281</v>
      </c>
      <c r="D64" s="138">
        <f>Historicals!D94+Historicals!D97+Historicals!D98</f>
        <v>-29</v>
      </c>
      <c r="E64" s="138">
        <f>Historicals!E94+Historicals!E97+Historicals!E98</f>
        <v>-84</v>
      </c>
      <c r="F64" s="138">
        <f>Historicals!F94+Historicals!F97+Historicals!F98</f>
        <v>-50</v>
      </c>
      <c r="G64" s="138">
        <f>Historicals!G94+Historicals!G97+Historicals!G98</f>
        <v>-58</v>
      </c>
      <c r="H64" s="138">
        <f>Historicals!H94+Historicals!H97+Historicals!H98</f>
        <v>-136</v>
      </c>
      <c r="I64" s="138">
        <f>Historicals!I94+Historicals!I97+Historicals!I98</f>
        <v>-151</v>
      </c>
      <c r="J64" s="138"/>
      <c r="K64" s="138"/>
      <c r="L64" s="138"/>
      <c r="M64" s="138"/>
      <c r="N64" s="138"/>
      <c r="O64" s="138" t="s">
        <v>246</v>
      </c>
      <c r="P64" s="138"/>
      <c r="Q64" s="138"/>
      <c r="R64" s="138"/>
      <c r="S64" s="138"/>
      <c r="T64" s="138"/>
    </row>
    <row r="65" spans="1:20" x14ac:dyDescent="0.25">
      <c r="A65" s="105" t="s">
        <v>198</v>
      </c>
      <c r="B65" s="106">
        <f>B60+B62+B63+B64</f>
        <v>-2790</v>
      </c>
      <c r="C65" s="106">
        <f t="shared" ref="C65:N65" si="57">C60+C62+C63+C64</f>
        <v>-2671</v>
      </c>
      <c r="D65" s="106">
        <f t="shared" si="57"/>
        <v>-2148</v>
      </c>
      <c r="E65" s="106">
        <f t="shared" si="57"/>
        <v>-4835</v>
      </c>
      <c r="F65" s="106">
        <f t="shared" si="57"/>
        <v>-5293</v>
      </c>
      <c r="G65" s="106">
        <f t="shared" si="57"/>
        <v>2491</v>
      </c>
      <c r="H65" s="106">
        <f t="shared" si="57"/>
        <v>-1459</v>
      </c>
      <c r="I65" s="106">
        <f t="shared" si="57"/>
        <v>-4836</v>
      </c>
      <c r="J65" s="106">
        <f t="shared" si="57"/>
        <v>-9501.9</v>
      </c>
      <c r="K65" s="106">
        <f t="shared" si="57"/>
        <v>-13639.619999999999</v>
      </c>
      <c r="L65" s="106">
        <f t="shared" si="57"/>
        <v>-21324.516</v>
      </c>
      <c r="M65" s="106">
        <f t="shared" si="57"/>
        <v>-34931.128799999999</v>
      </c>
      <c r="N65" s="106">
        <f t="shared" si="57"/>
        <v>-58959.831839999999</v>
      </c>
      <c r="O65" s="103"/>
      <c r="P65" s="103"/>
      <c r="Q65" s="103"/>
      <c r="R65" s="103"/>
      <c r="S65" s="103"/>
      <c r="T65" s="103"/>
    </row>
    <row r="66" spans="1:20" s="137" customFormat="1" x14ac:dyDescent="0.25">
      <c r="A66" s="137" t="s">
        <v>199</v>
      </c>
      <c r="B66" s="138">
        <f>Historicals!B100</f>
        <v>-83</v>
      </c>
      <c r="C66" s="138">
        <f>Historicals!C100</f>
        <v>-105</v>
      </c>
      <c r="D66" s="138">
        <f>Historicals!D100</f>
        <v>-20</v>
      </c>
      <c r="E66" s="138">
        <f>Historicals!E100</f>
        <v>45</v>
      </c>
      <c r="F66" s="138">
        <f>Historicals!F100</f>
        <v>-129</v>
      </c>
      <c r="G66" s="138">
        <f>Historicals!G100</f>
        <v>-66</v>
      </c>
      <c r="H66" s="138">
        <f>Historicals!H100</f>
        <v>143</v>
      </c>
      <c r="I66" s="138">
        <f>Historicals!I100</f>
        <v>-143</v>
      </c>
      <c r="J66" s="138"/>
      <c r="K66" s="138"/>
      <c r="L66" s="138"/>
      <c r="M66" s="138"/>
      <c r="N66" s="138"/>
      <c r="O66" s="138" t="s">
        <v>246</v>
      </c>
      <c r="P66" s="138"/>
      <c r="Q66" s="138"/>
      <c r="R66" s="138"/>
      <c r="S66" s="138"/>
      <c r="T66" s="138"/>
    </row>
    <row r="67" spans="1:20" x14ac:dyDescent="0.25">
      <c r="A67" s="105" t="s">
        <v>200</v>
      </c>
      <c r="B67" s="106">
        <f>B56+B59+B65+B66</f>
        <v>1632</v>
      </c>
      <c r="C67" s="106">
        <f t="shared" ref="C67:N67" si="58">C56+C59+C65+C66</f>
        <v>-714</v>
      </c>
      <c r="D67" s="106">
        <f t="shared" si="58"/>
        <v>670</v>
      </c>
      <c r="E67" s="106">
        <f t="shared" si="58"/>
        <v>441</v>
      </c>
      <c r="F67" s="106">
        <f t="shared" si="58"/>
        <v>217</v>
      </c>
      <c r="G67" s="106">
        <f t="shared" si="58"/>
        <v>3882</v>
      </c>
      <c r="H67" s="106">
        <f t="shared" si="58"/>
        <v>1541</v>
      </c>
      <c r="I67" s="106">
        <f t="shared" si="58"/>
        <v>-1315</v>
      </c>
      <c r="J67" s="106">
        <f t="shared" si="58"/>
        <v>-4860.2866300578025</v>
      </c>
      <c r="K67" s="106">
        <f t="shared" si="58"/>
        <v>-8687.8610061123654</v>
      </c>
      <c r="L67" s="106">
        <f t="shared" si="58"/>
        <v>-19669.797748922225</v>
      </c>
      <c r="M67" s="106">
        <f t="shared" si="58"/>
        <v>-38061.005326277125</v>
      </c>
      <c r="N67" s="106">
        <f t="shared" si="58"/>
        <v>-69898.183080507486</v>
      </c>
      <c r="O67" s="103"/>
      <c r="P67" s="103"/>
      <c r="Q67" s="103"/>
      <c r="R67" s="103"/>
      <c r="S67" s="103"/>
      <c r="T67" s="104"/>
    </row>
    <row r="68" spans="1:20" x14ac:dyDescent="0.25">
      <c r="A68" s="54" t="s">
        <v>201</v>
      </c>
      <c r="B68" s="94">
        <f>Historicals!B102</f>
        <v>2220</v>
      </c>
      <c r="C68" s="94">
        <f>B69</f>
        <v>3852</v>
      </c>
      <c r="D68" s="94">
        <f t="shared" ref="D68:I68" si="59">C69</f>
        <v>3138</v>
      </c>
      <c r="E68" s="94">
        <f t="shared" si="59"/>
        <v>3808</v>
      </c>
      <c r="F68" s="94">
        <f t="shared" si="59"/>
        <v>4249</v>
      </c>
      <c r="G68" s="94">
        <f t="shared" si="59"/>
        <v>4466</v>
      </c>
      <c r="H68" s="94">
        <f t="shared" si="59"/>
        <v>8348</v>
      </c>
      <c r="I68" s="94">
        <f t="shared" si="59"/>
        <v>9889</v>
      </c>
      <c r="J68" s="94">
        <f>I69</f>
        <v>8574</v>
      </c>
      <c r="K68" s="94">
        <f t="shared" ref="K68:N68" si="60">J69</f>
        <v>3713.7133699421975</v>
      </c>
      <c r="L68" s="94">
        <f t="shared" si="60"/>
        <v>-4974.147636170168</v>
      </c>
      <c r="M68" s="94">
        <f t="shared" si="60"/>
        <v>-24643.945385092393</v>
      </c>
      <c r="N68" s="94">
        <f t="shared" si="60"/>
        <v>-62704.950711369514</v>
      </c>
      <c r="O68" s="94"/>
      <c r="P68" s="94" t="s">
        <v>239</v>
      </c>
      <c r="R68" s="94"/>
      <c r="S68" s="94"/>
      <c r="T68" s="94"/>
    </row>
    <row r="69" spans="1:20" ht="15.75" thickBot="1" x14ac:dyDescent="0.3">
      <c r="A69" s="101" t="s">
        <v>202</v>
      </c>
      <c r="B69" s="102">
        <f>B67+B68</f>
        <v>3852</v>
      </c>
      <c r="C69" s="102">
        <f t="shared" ref="C69:I69" si="61">C67+C68</f>
        <v>3138</v>
      </c>
      <c r="D69" s="102">
        <f t="shared" si="61"/>
        <v>3808</v>
      </c>
      <c r="E69" s="102">
        <f t="shared" si="61"/>
        <v>4249</v>
      </c>
      <c r="F69" s="102">
        <f t="shared" si="61"/>
        <v>4466</v>
      </c>
      <c r="G69" s="102">
        <f t="shared" si="61"/>
        <v>8348</v>
      </c>
      <c r="H69" s="102">
        <f t="shared" si="61"/>
        <v>9889</v>
      </c>
      <c r="I69" s="102">
        <f t="shared" si="61"/>
        <v>8574</v>
      </c>
      <c r="J69" s="102">
        <f>J67+J68</f>
        <v>3713.7133699421975</v>
      </c>
      <c r="K69" s="102">
        <f t="shared" ref="K69:N69" si="62">K67+K68</f>
        <v>-4974.147636170168</v>
      </c>
      <c r="L69" s="102">
        <f t="shared" si="62"/>
        <v>-24643.945385092393</v>
      </c>
      <c r="M69" s="102">
        <f t="shared" si="62"/>
        <v>-62704.950711369514</v>
      </c>
      <c r="N69" s="102">
        <f t="shared" si="62"/>
        <v>-132603.13379187702</v>
      </c>
      <c r="O69" s="102"/>
      <c r="P69" s="102" t="s">
        <v>240</v>
      </c>
      <c r="R69" s="103"/>
      <c r="S69" s="103"/>
      <c r="T69" s="103"/>
    </row>
    <row r="70" spans="1:20" ht="15.75" thickTop="1" x14ac:dyDescent="0.25">
      <c r="A70" s="114" t="s">
        <v>182</v>
      </c>
      <c r="B70" s="103">
        <f>B69-B21</f>
        <v>0</v>
      </c>
      <c r="C70" s="103">
        <f t="shared" ref="C70:N70" si="63">C69-C21</f>
        <v>0</v>
      </c>
      <c r="D70" s="103">
        <f t="shared" si="63"/>
        <v>0</v>
      </c>
      <c r="E70" s="103">
        <f t="shared" si="63"/>
        <v>0</v>
      </c>
      <c r="F70" s="103">
        <f t="shared" si="63"/>
        <v>0</v>
      </c>
      <c r="G70" s="103">
        <f t="shared" si="63"/>
        <v>0</v>
      </c>
      <c r="H70" s="103">
        <f t="shared" si="63"/>
        <v>0</v>
      </c>
      <c r="I70" s="103">
        <f t="shared" si="63"/>
        <v>0</v>
      </c>
      <c r="J70" s="103">
        <f t="shared" si="63"/>
        <v>0</v>
      </c>
      <c r="K70" s="103">
        <f t="shared" si="63"/>
        <v>0</v>
      </c>
      <c r="L70" s="103">
        <f t="shared" si="63"/>
        <v>0</v>
      </c>
      <c r="M70" s="103">
        <f t="shared" si="63"/>
        <v>0</v>
      </c>
      <c r="N70" s="103">
        <f t="shared" si="63"/>
        <v>0</v>
      </c>
      <c r="O70" s="103"/>
      <c r="P70" s="103"/>
      <c r="Q70" s="103"/>
      <c r="R70" s="103"/>
      <c r="S70" s="103"/>
      <c r="T70" s="103"/>
    </row>
    <row r="71" spans="1:20" x14ac:dyDescent="0.25">
      <c r="A71" s="81" t="s">
        <v>203</v>
      </c>
      <c r="B71" s="116">
        <f>B36-(B21+Historicals!B26)</f>
        <v>-4845</v>
      </c>
      <c r="C71" s="116">
        <f>C36-(C21+Historicals!C26)</f>
        <v>-3447</v>
      </c>
      <c r="D71" s="116">
        <f>D36-(D21+Historicals!D26)</f>
        <v>-2708</v>
      </c>
      <c r="E71" s="116">
        <f>E36-(E21+Historicals!E26)</f>
        <v>-1777</v>
      </c>
      <c r="F71" s="116">
        <f>F36-(F21+Historicals!F26)</f>
        <v>-1199</v>
      </c>
      <c r="G71" s="116">
        <f>G36-(G21+Historicals!G26)</f>
        <v>619</v>
      </c>
      <c r="H71" s="116">
        <f>H36-(H21+Historicals!H26)</f>
        <v>-4063</v>
      </c>
      <c r="I71" s="116">
        <f>I36-(I21+Historicals!I26)</f>
        <v>-4077</v>
      </c>
      <c r="J71" s="116">
        <f>I71</f>
        <v>-4077</v>
      </c>
      <c r="K71" s="116">
        <f t="shared" ref="K71:N71" si="64">J71</f>
        <v>-4077</v>
      </c>
      <c r="L71" s="116">
        <f t="shared" si="64"/>
        <v>-4077</v>
      </c>
      <c r="M71" s="116">
        <f t="shared" si="64"/>
        <v>-4077</v>
      </c>
      <c r="N71" s="116">
        <f t="shared" si="64"/>
        <v>-4077</v>
      </c>
      <c r="O71" s="116"/>
      <c r="P71" s="116"/>
      <c r="Q71" s="116"/>
      <c r="R71" s="116"/>
      <c r="S71" s="116"/>
      <c r="T71"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2023-10-03T14:40:09Z</dcterms:modified>
</cp:coreProperties>
</file>