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1013ed1e35ef97/Documents/QCP Investment Launchpad Program/"/>
    </mc:Choice>
  </mc:AlternateContent>
  <xr:revisionPtr revIDLastSave="0" documentId="8_{8EEBA176-BCA0-4778-AE86-86C20CFE0CB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List of Ratios (2)" sheetId="5" r:id="rId4"/>
    <sheet name="Formula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C84" i="3"/>
  <c r="D88" i="3"/>
  <c r="E88" i="3"/>
  <c r="C88" i="3"/>
  <c r="D87" i="3"/>
  <c r="E87" i="3"/>
  <c r="C87" i="3"/>
  <c r="D50" i="3"/>
  <c r="E50" i="3"/>
  <c r="C50" i="3"/>
  <c r="D51" i="3"/>
  <c r="E51" i="3"/>
  <c r="A49" i="3"/>
  <c r="C51" i="3"/>
  <c r="D48" i="3"/>
  <c r="E48" i="3"/>
  <c r="C48" i="3"/>
  <c r="E47" i="3"/>
  <c r="D46" i="3"/>
  <c r="E46" i="3"/>
  <c r="C46" i="3"/>
  <c r="D45" i="3"/>
  <c r="D44" i="3" s="1"/>
  <c r="E45" i="3"/>
  <c r="E44" i="3" s="1"/>
  <c r="C45" i="3"/>
  <c r="C44" i="3"/>
  <c r="D42" i="3"/>
  <c r="E42" i="3"/>
  <c r="C42" i="3"/>
  <c r="D43" i="3"/>
  <c r="E43" i="3"/>
  <c r="C43" i="3"/>
  <c r="D37" i="3"/>
  <c r="E37" i="3"/>
  <c r="C37" i="3"/>
  <c r="E36" i="3"/>
  <c r="D36" i="3"/>
  <c r="C36" i="3"/>
  <c r="E35" i="3"/>
  <c r="C35" i="3"/>
  <c r="D35" i="3"/>
  <c r="E34" i="3"/>
  <c r="D34" i="3"/>
  <c r="C34" i="3"/>
  <c r="D30" i="3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1" i="3"/>
  <c r="E21" i="3"/>
  <c r="C21" i="3"/>
  <c r="D19" i="3"/>
  <c r="E19" i="3"/>
  <c r="C19" i="3"/>
  <c r="E14" i="3"/>
  <c r="D14" i="3"/>
  <c r="C14" i="3"/>
  <c r="E11" i="3"/>
  <c r="E10" i="3"/>
  <c r="E9" i="3"/>
  <c r="D8" i="3"/>
  <c r="E8" i="3"/>
  <c r="C8" i="3"/>
  <c r="C9" i="3"/>
  <c r="E88" i="5" l="1"/>
  <c r="D88" i="5"/>
  <c r="C88" i="5"/>
  <c r="E87" i="5"/>
  <c r="D87" i="5"/>
  <c r="C87" i="5"/>
  <c r="E77" i="5"/>
  <c r="D77" i="5"/>
  <c r="C77" i="5"/>
  <c r="E76" i="5"/>
  <c r="D76" i="5"/>
  <c r="C76" i="5"/>
  <c r="E75" i="5"/>
  <c r="D75" i="5"/>
  <c r="C75" i="5"/>
  <c r="E74" i="5"/>
  <c r="D74" i="5"/>
  <c r="C74" i="5"/>
  <c r="E73" i="5"/>
  <c r="D73" i="5"/>
  <c r="C73" i="5"/>
  <c r="E72" i="5"/>
  <c r="D72" i="5"/>
  <c r="C72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A47" i="5"/>
  <c r="A49" i="5" s="1"/>
  <c r="E46" i="5"/>
  <c r="D46" i="5"/>
  <c r="C46" i="5"/>
  <c r="E45" i="5"/>
  <c r="D45" i="5"/>
  <c r="C45" i="5"/>
  <c r="E44" i="5"/>
  <c r="D44" i="5"/>
  <c r="C44" i="5"/>
  <c r="E41" i="5"/>
  <c r="D41" i="5"/>
  <c r="C41" i="5"/>
  <c r="E40" i="5"/>
  <c r="D40" i="5"/>
  <c r="C40" i="5"/>
  <c r="E37" i="5"/>
  <c r="D37" i="5"/>
  <c r="C37" i="5"/>
  <c r="E36" i="5"/>
  <c r="D36" i="5"/>
  <c r="C36" i="5"/>
  <c r="E35" i="5"/>
  <c r="D35" i="5"/>
  <c r="C35" i="5"/>
  <c r="E34" i="5"/>
  <c r="D34" i="5"/>
  <c r="C34" i="5"/>
  <c r="E29" i="5"/>
  <c r="D29" i="5"/>
  <c r="C29" i="5"/>
  <c r="E28" i="5"/>
  <c r="D28" i="5"/>
  <c r="C28" i="5"/>
  <c r="E27" i="5"/>
  <c r="D27" i="5"/>
  <c r="C27" i="5"/>
  <c r="E26" i="5"/>
  <c r="D26" i="5"/>
  <c r="C26" i="5"/>
  <c r="E25" i="5"/>
  <c r="D25" i="5"/>
  <c r="C25" i="5"/>
  <c r="A24" i="5"/>
  <c r="A33" i="5" s="1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A16" i="5"/>
  <c r="A17" i="5" s="1"/>
  <c r="A18" i="5" s="1"/>
  <c r="A20" i="5" s="1"/>
  <c r="A22" i="5" s="1"/>
  <c r="E14" i="5"/>
  <c r="D14" i="5"/>
  <c r="C14" i="5"/>
  <c r="E13" i="5"/>
  <c r="D13" i="5"/>
  <c r="C13" i="5"/>
  <c r="E11" i="5"/>
  <c r="D11" i="5"/>
  <c r="C11" i="5"/>
  <c r="E10" i="5"/>
  <c r="E12" i="5" s="1"/>
  <c r="D10" i="5"/>
  <c r="D12" i="5" s="1"/>
  <c r="C10" i="5"/>
  <c r="E9" i="5"/>
  <c r="D9" i="5"/>
  <c r="C9" i="5"/>
  <c r="C12" i="5" s="1"/>
  <c r="E8" i="5"/>
  <c r="D8" i="5"/>
  <c r="C8" i="5"/>
  <c r="E7" i="5"/>
  <c r="D7" i="5"/>
  <c r="C7" i="5"/>
  <c r="E6" i="5"/>
  <c r="D6" i="5"/>
  <c r="C6" i="5"/>
  <c r="E5" i="5"/>
  <c r="D5" i="5"/>
  <c r="C5" i="5"/>
  <c r="A5" i="5"/>
  <c r="A6" i="5" s="1"/>
  <c r="A7" i="5" s="1"/>
  <c r="A8" i="5" s="1"/>
  <c r="A9" i="5" s="1"/>
  <c r="A10" i="5" s="1"/>
  <c r="A11" i="5" s="1"/>
  <c r="A12" i="5" s="1"/>
  <c r="A13" i="5" s="1"/>
  <c r="E3" i="5"/>
  <c r="D3" i="5"/>
  <c r="C3" i="5"/>
  <c r="A39" i="5" l="1"/>
  <c r="A40" i="5" s="1"/>
  <c r="A41" i="5" s="1"/>
  <c r="A42" i="5" s="1"/>
  <c r="A43" i="5" s="1"/>
  <c r="A44" i="5" s="1"/>
  <c r="A46" i="5" s="1"/>
  <c r="A48" i="5" s="1"/>
  <c r="A50" i="5" s="1"/>
  <c r="A34" i="5"/>
  <c r="A35" i="5" s="1"/>
  <c r="A36" i="5" s="1"/>
  <c r="A37" i="5" s="1"/>
  <c r="A25" i="5"/>
  <c r="A26" i="5" s="1"/>
  <c r="A27" i="5" s="1"/>
  <c r="A28" i="5" s="1"/>
  <c r="A29" i="5" s="1"/>
  <c r="A30" i="5" s="1"/>
  <c r="D59" i="3"/>
  <c r="C59" i="3"/>
  <c r="D58" i="3"/>
  <c r="C58" i="3"/>
  <c r="D55" i="3"/>
  <c r="C55" i="3"/>
  <c r="D54" i="3"/>
  <c r="C54" i="3"/>
  <c r="A49" i="4"/>
  <c r="A51" i="4" s="1"/>
  <c r="A15" i="4"/>
  <c r="A16" i="4" s="1"/>
  <c r="A17" i="4" s="1"/>
  <c r="A19" i="4" s="1"/>
  <c r="A21" i="4" s="1"/>
  <c r="A4" i="4"/>
  <c r="A5" i="4" s="1"/>
  <c r="A6" i="4" s="1"/>
  <c r="A7" i="4" s="1"/>
  <c r="A8" i="4" s="1"/>
  <c r="A9" i="4" s="1"/>
  <c r="A10" i="4" s="1"/>
  <c r="A11" i="4" s="1"/>
  <c r="D108" i="1"/>
  <c r="C108" i="1"/>
  <c r="B108" i="1"/>
  <c r="D99" i="1"/>
  <c r="C99" i="1"/>
  <c r="B99" i="1"/>
  <c r="A24" i="4" l="1"/>
  <c r="D68" i="1"/>
  <c r="C68" i="1"/>
  <c r="D68" i="3" s="1"/>
  <c r="B68" i="1"/>
  <c r="D61" i="1"/>
  <c r="C61" i="1"/>
  <c r="B61" i="1"/>
  <c r="D56" i="1"/>
  <c r="E7" i="3" s="1"/>
  <c r="C56" i="1"/>
  <c r="B56" i="1"/>
  <c r="D47" i="1"/>
  <c r="C47" i="1"/>
  <c r="D63" i="3" s="1"/>
  <c r="B47" i="1"/>
  <c r="D42" i="1"/>
  <c r="C42" i="1"/>
  <c r="B42" i="1"/>
  <c r="B48" i="1" s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73" i="3"/>
  <c r="C56" i="3"/>
  <c r="C17" i="3"/>
  <c r="C75" i="3"/>
  <c r="C11" i="3"/>
  <c r="C74" i="3"/>
  <c r="C65" i="3"/>
  <c r="C7" i="3"/>
  <c r="D73" i="3"/>
  <c r="D56" i="3"/>
  <c r="D17" i="3"/>
  <c r="D75" i="3"/>
  <c r="D11" i="3"/>
  <c r="D74" i="3"/>
  <c r="C12" i="3"/>
  <c r="C72" i="3"/>
  <c r="C10" i="3"/>
  <c r="E6" i="3"/>
  <c r="E5" i="3"/>
  <c r="E13" i="3"/>
  <c r="C66" i="3"/>
  <c r="C13" i="3"/>
  <c r="C6" i="3"/>
  <c r="C5" i="3"/>
  <c r="C62" i="3"/>
  <c r="D13" i="1"/>
  <c r="D18" i="1" s="1"/>
  <c r="E73" i="3"/>
  <c r="E17" i="3"/>
  <c r="E75" i="3"/>
  <c r="E74" i="3"/>
  <c r="D5" i="3"/>
  <c r="D62" i="3"/>
  <c r="D13" i="3"/>
  <c r="D6" i="3"/>
  <c r="D10" i="3"/>
  <c r="D72" i="3"/>
  <c r="D9" i="3"/>
  <c r="C63" i="3"/>
  <c r="D66" i="3"/>
  <c r="C62" i="1"/>
  <c r="D65" i="3"/>
  <c r="D7" i="3"/>
  <c r="E72" i="3"/>
  <c r="C68" i="3"/>
  <c r="A25" i="4"/>
  <c r="A26" i="4" s="1"/>
  <c r="A27" i="4" s="1"/>
  <c r="A28" i="4" s="1"/>
  <c r="A29" i="4" s="1"/>
  <c r="A30" i="4" s="1"/>
  <c r="A34" i="4"/>
  <c r="C13" i="1"/>
  <c r="B62" i="1"/>
  <c r="B18" i="1"/>
  <c r="C48" i="1"/>
  <c r="D62" i="1"/>
  <c r="C69" i="1"/>
  <c r="D48" i="1"/>
  <c r="B69" i="1"/>
  <c r="C69" i="3" s="1"/>
  <c r="A47" i="3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67" i="3" l="1"/>
  <c r="D69" i="1"/>
  <c r="D69" i="3" s="1"/>
  <c r="D64" i="3"/>
  <c r="B20" i="1"/>
  <c r="C20" i="3"/>
  <c r="C18" i="3"/>
  <c r="C67" i="3"/>
  <c r="D12" i="3"/>
  <c r="C57" i="3"/>
  <c r="D20" i="1"/>
  <c r="E20" i="3"/>
  <c r="E18" i="3"/>
  <c r="E12" i="3"/>
  <c r="C18" i="1"/>
  <c r="D57" i="3"/>
  <c r="C64" i="3"/>
  <c r="A41" i="4"/>
  <c r="A42" i="4" s="1"/>
  <c r="A43" i="4" s="1"/>
  <c r="A44" i="4" s="1"/>
  <c r="A45" i="4" s="1"/>
  <c r="A46" i="4" s="1"/>
  <c r="A48" i="4" s="1"/>
  <c r="A50" i="4" s="1"/>
  <c r="A52" i="4" s="1"/>
  <c r="A35" i="4"/>
  <c r="A36" i="4" s="1"/>
  <c r="A37" i="4" s="1"/>
  <c r="A38" i="4" s="1"/>
  <c r="A24" i="3"/>
  <c r="A25" i="3" s="1"/>
  <c r="A26" i="3" s="1"/>
  <c r="A27" i="3" s="1"/>
  <c r="A28" i="3" s="1"/>
  <c r="A29" i="3" s="1"/>
  <c r="A30" i="3" s="1"/>
  <c r="C20" i="1" l="1"/>
  <c r="D18" i="3"/>
  <c r="D60" i="3"/>
  <c r="D20" i="3"/>
  <c r="D22" i="1"/>
  <c r="E76" i="3"/>
  <c r="B22" i="1"/>
  <c r="C76" i="3"/>
  <c r="C60" i="3"/>
  <c r="A33" i="3"/>
  <c r="A34" i="3" s="1"/>
  <c r="A35" i="3" s="1"/>
  <c r="A36" i="3" s="1"/>
  <c r="A37" i="3" s="1"/>
  <c r="B76" i="1" l="1"/>
  <c r="B91" i="1" s="1"/>
  <c r="B109" i="1" s="1"/>
  <c r="C49" i="3"/>
  <c r="C41" i="3"/>
  <c r="C40" i="3" s="1"/>
  <c r="C77" i="3"/>
  <c r="C47" i="3"/>
  <c r="C22" i="3"/>
  <c r="D76" i="1"/>
  <c r="D91" i="1" s="1"/>
  <c r="D109" i="1" s="1"/>
  <c r="E77" i="3"/>
  <c r="E41" i="3"/>
  <c r="E40" i="3" s="1"/>
  <c r="E22" i="3"/>
  <c r="E49" i="3"/>
  <c r="C22" i="1"/>
  <c r="D76" i="3"/>
  <c r="A39" i="3"/>
  <c r="A40" i="3" s="1"/>
  <c r="A41" i="3" s="1"/>
  <c r="A42" i="3" s="1"/>
  <c r="A43" i="3" s="1"/>
  <c r="A44" i="3" s="1"/>
  <c r="A46" i="3" s="1"/>
  <c r="A48" i="3" s="1"/>
  <c r="A50" i="3" s="1"/>
  <c r="C76" i="1" l="1"/>
  <c r="C91" i="1" s="1"/>
  <c r="C109" i="1" s="1"/>
  <c r="D77" i="3"/>
  <c r="D61" i="3"/>
  <c r="D47" i="3"/>
  <c r="D41" i="3"/>
  <c r="D40" i="3" s="1"/>
  <c r="D22" i="3"/>
  <c r="D49" i="3"/>
  <c r="C61" i="3"/>
</calcChain>
</file>

<file path=xl/sharedStrings.xml><?xml version="1.0" encoding="utf-8"?>
<sst xmlns="http://schemas.openxmlformats.org/spreadsheetml/2006/main" count="423" uniqueCount="247">
  <si>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</si>
  <si>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</si>
  <si>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</si>
  <si>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</si>
  <si>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</si>
  <si>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</si>
  <si>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</si>
  <si>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</si>
  <si>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</si>
  <si>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</si>
  <si>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</si>
  <si>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</si>
  <si>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</si>
  <si>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</si>
  <si>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</si>
  <si>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</si>
  <si>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</si>
  <si>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</si>
  <si>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</si>
  <si>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</si>
  <si>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</si>
  <si>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</si>
  <si>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</si>
  <si>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</si>
  <si>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</si>
  <si>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</si>
  <si>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</si>
  <si>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</si>
  <si>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</si>
  <si>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</si>
  <si>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</si>
  <si>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</si>
  <si>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</si>
  <si>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</si>
  <si>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</si>
  <si>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</si>
  <si>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</si>
  <si>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</si>
  <si>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</si>
  <si>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</si>
  <si>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</si>
  <si>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</si>
  <si>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</si>
  <si>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</si>
  <si>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</si>
  <si>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</si>
  <si>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</si>
  <si>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</si>
  <si>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</si>
  <si>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</si>
  <si>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</si>
  <si>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</si>
  <si>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</si>
  <si>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</si>
  <si>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</si>
  <si>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</si>
  <si>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</si>
  <si>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</si>
  <si>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</si>
  <si>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</si>
  <si>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</si>
  <si>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</si>
  <si>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</si>
  <si>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</si>
  <si>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</si>
  <si>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</si>
  <si>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</si>
  <si>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</si>
  <si>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</si>
  <si>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</si>
  <si>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</si>
  <si>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</si>
  <si>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</si>
  <si>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</si>
  <si>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</si>
  <si>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</si>
  <si>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</si>
  <si>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</si>
  <si>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</si>
  <si>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</si>
  <si>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</si>
  <si>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</si>
  <si>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</si>
  <si>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</si>
  <si>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</si>
  <si>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</si>
  <si>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</si>
  <si>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</si>
  <si>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</si>
  <si>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</si>
  <si>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</si>
  <si>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</si>
  <si>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</si>
  <si>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</si>
  <si>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</si>
  <si>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</si>
  <si>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</si>
  <si>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</si>
  <si>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</si>
  <si>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</si>
  <si>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</si>
  <si>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</si>
  <si>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</si>
  <si>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</si>
  <si>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</si>
  <si>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</si>
  <si>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</si>
  <si>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</si>
  <si>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</si>
  <si>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</si>
  <si>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</si>
  <si>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</si>
  <si>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</si>
  <si>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</si>
  <si>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</si>
  <si>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</si>
  <si>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</si>
  <si>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</si>
  <si>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</si>
  <si>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</si>
  <si>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</si>
  <si>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</si>
  <si>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</si>
  <si>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</si>
  <si>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</si>
  <si>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</si>
  <si>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</si>
  <si>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</si>
  <si>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</si>
  <si>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</si>
  <si>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</si>
  <si>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</si>
  <si>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</si>
  <si>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</si>
  <si>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</si>
  <si>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</si>
  <si>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</si>
  <si>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</si>
  <si>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</si>
  <si>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</si>
  <si>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</si>
  <si>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</si>
  <si>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</si>
  <si>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</si>
  <si>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</si>
  <si>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</si>
  <si>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</si>
  <si>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</si>
  <si>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</si>
  <si>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</si>
  <si>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Current Ratio</t>
  </si>
  <si>
    <t>Current Asssets/Current Liabilities</t>
  </si>
  <si>
    <t>Formula</t>
  </si>
  <si>
    <t>Current Asssets-Inventory/Current Liabilities</t>
  </si>
  <si>
    <t>Cash + Cash equivalents/Current Liabilities</t>
  </si>
  <si>
    <t>Average Inventory/ COGS*365</t>
  </si>
  <si>
    <t>Average Accounts Receivable/Revenue*365</t>
  </si>
  <si>
    <t>Inventory Days + Receivable Days - Payable Days</t>
  </si>
  <si>
    <t>Gross Profit/Revenue</t>
  </si>
  <si>
    <t>Operating Profit+Depreciation+Amortization/Revenue</t>
  </si>
  <si>
    <t>Operating Profit+Depreciation+Amortization</t>
  </si>
  <si>
    <t>Operating Profit/Revenue</t>
  </si>
  <si>
    <t>Operating Profit</t>
  </si>
  <si>
    <t>Net Income/Revenue</t>
  </si>
  <si>
    <t>Total Debt/Total Assets - Total Liabilites</t>
  </si>
  <si>
    <t>Debt/Total Assets</t>
  </si>
  <si>
    <t>Long-term Debt/Long-term Debt + Total Assets - Total Liabilities</t>
  </si>
  <si>
    <t>EBITDA/Interest Expense</t>
  </si>
  <si>
    <t>Net Operating Income/Debt Service</t>
  </si>
  <si>
    <t>Debt Service equals principal plus interest over given period</t>
  </si>
  <si>
    <t>Free Cash Flow/Total number of shares outstanding</t>
  </si>
  <si>
    <t xml:space="preserve">Free Cash Flow to Equity </t>
  </si>
  <si>
    <t>Net Revenue/Average Total Assets</t>
  </si>
  <si>
    <t>Net Revenue/Average Fixed Assets</t>
  </si>
  <si>
    <t>COGS/Average Inventories</t>
  </si>
  <si>
    <t>Share Price/Earnings Per Share</t>
  </si>
  <si>
    <t>Net Income/Shares Outstanding</t>
  </si>
  <si>
    <t>(Total Net Assets - Preferred Equity)/Common Shares Outstanding</t>
  </si>
  <si>
    <t xml:space="preserve">Share Price/BV </t>
  </si>
  <si>
    <t>Dividend per share/EPS</t>
  </si>
  <si>
    <t>Annual Dividend per share/Share Price</t>
  </si>
  <si>
    <t>Net Income/Average Shareholder's Equity</t>
  </si>
  <si>
    <t>EBIT/Capital Employed</t>
  </si>
  <si>
    <t>*Capital Employed = Total Assets - Current Liabilities</t>
  </si>
  <si>
    <t>*Shareholder's Equity = Net Assets</t>
  </si>
  <si>
    <t>Net Income/Total Assets</t>
  </si>
  <si>
    <t>(Share Price*Shares Outstanding) + Long &amp; Short term Debt - Cash - Cash equivalents</t>
  </si>
  <si>
    <t>(Market Cap + Nebt Debt)/EBITDA</t>
  </si>
  <si>
    <t>Average Accounts Payable/COGS*365</t>
  </si>
  <si>
    <t xml:space="preserve"> Current Assets - Current Liabilities/Revenue</t>
  </si>
  <si>
    <t>Current Assets - Current Liabilities</t>
  </si>
  <si>
    <t>Dividends paid/Average Outstanding shares</t>
  </si>
  <si>
    <t>Product sales growth</t>
  </si>
  <si>
    <t>Services sales growth</t>
  </si>
  <si>
    <t>Growth Rates</t>
  </si>
  <si>
    <t>Net sales growth</t>
  </si>
  <si>
    <t>Gross profit</t>
  </si>
  <si>
    <t>Operating income growth</t>
  </si>
  <si>
    <t>Net Profit</t>
  </si>
  <si>
    <t>Additional</t>
  </si>
  <si>
    <t>Capex as % of sales</t>
  </si>
  <si>
    <t>Capex as % of fixed assets</t>
  </si>
  <si>
    <t>Capex</t>
  </si>
  <si>
    <t>Net increase in PP&amp;E + Depreciation expense</t>
  </si>
  <si>
    <t>Calculate income tax rate?</t>
  </si>
  <si>
    <t>COGS as % sales</t>
  </si>
  <si>
    <t>R&amp;D as % sales</t>
  </si>
  <si>
    <t>SG&amp;A growth</t>
  </si>
  <si>
    <t>R&amp;D growth</t>
  </si>
  <si>
    <t>SG&amp;A as % sales</t>
  </si>
  <si>
    <t>Margins/ % sales</t>
  </si>
  <si>
    <t>Gross  margin</t>
  </si>
  <si>
    <t>Operating  margin</t>
  </si>
  <si>
    <t>Net profit margin</t>
  </si>
  <si>
    <t>Total Current Assets</t>
  </si>
  <si>
    <t>Total Non-current Assets</t>
  </si>
  <si>
    <t>Total Assets</t>
  </si>
  <si>
    <t>Total Current Liabilities</t>
  </si>
  <si>
    <t>Total Non-current Liabilities</t>
  </si>
  <si>
    <t>Total Liabilities</t>
  </si>
  <si>
    <t>Total Shareholders' Equity</t>
  </si>
  <si>
    <t>Total Liabilities and Shareholders Equity</t>
  </si>
  <si>
    <t>Current Assets / Daily Operational Expenses where Daily Operational Expenses = (Annual Operating Expenses - Noncash Charges) / 365</t>
  </si>
  <si>
    <t>Column E is empty, take the absolute value for year 2020 instead of average</t>
  </si>
  <si>
    <t>Do not multiply by million</t>
  </si>
  <si>
    <t>Use operating income instead of income before tax i.e. income before interest and other income and do not multiply by million</t>
  </si>
  <si>
    <t>Long term debt/ Capital =  long term portion of the term debt /(long term debt + equity)</t>
  </si>
  <si>
    <t>EBIT/Interest Expense</t>
  </si>
  <si>
    <t>EBIT/(Interest Expense + Debt repayment)</t>
  </si>
  <si>
    <t>Link only long term portion of the term debt for the numerator, short term debt and other items like  is not included in capital</t>
  </si>
  <si>
    <t>FCFE/Diluted number of shares</t>
  </si>
  <si>
    <t>Use brackets for the average calculation for the denominator and column E is empty, take the absolute value for year 2020 instead of average</t>
  </si>
  <si>
    <t>Net income/Total assets</t>
  </si>
  <si>
    <t>Total shareholder equity/Diluted number of shares</t>
  </si>
  <si>
    <t>Share price/BV per share</t>
  </si>
  <si>
    <t>DPS/EPS</t>
  </si>
  <si>
    <t>DPS/Share Price</t>
  </si>
  <si>
    <t>column E is empty, take the absolute value for year 2020 instead of average</t>
  </si>
  <si>
    <t>Capital =  (long term debt + equity</t>
  </si>
  <si>
    <t>Share count should be divided by 1000 not multiplied</t>
  </si>
  <si>
    <t>Tax charge in income statement/Income before tax</t>
  </si>
  <si>
    <t>Capex can be sourced from cash flow statement (purchase of property plant and equipment)</t>
  </si>
  <si>
    <t>Cash flow from operations - Capex + Debt issuance</t>
  </si>
  <si>
    <t xml:space="preserve">Do not calculate average for the share count because the reposted share count is already the average </t>
  </si>
  <si>
    <t>Feedback</t>
  </si>
  <si>
    <t>Current Assets / Daily Operational Expenses</t>
  </si>
  <si>
    <t>*Daily Operational Expenses = (Annual Operating Expenses - Noncash Charges) /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</si>
</sst>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&quot;£&quot;#,##0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4" fontId="0" fillId="0" borderId="0" xfId="0" applyNumberFormat="1"/>
    <xf numFmtId="168" fontId="0" fillId="0" borderId="0" xfId="3" applyNumberFormat="1" applyFon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2" sqref="A12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" workbookViewId="0">
      <selection activeCell="A54" sqref="A5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0" t="s">
        <v>1</v>
      </c>
      <c r="B2" s="30"/>
      <c r="C2" s="30"/>
      <c r="D2" s="30"/>
    </row>
    <row r="3" spans="1:10" x14ac:dyDescent="0.3">
      <c r="B3" s="29" t="s">
        <v>23</v>
      </c>
      <c r="C3" s="29"/>
      <c r="D3" s="29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0" t="s">
        <v>24</v>
      </c>
      <c r="B31" s="30"/>
      <c r="C31" s="30"/>
      <c r="D31" s="30"/>
    </row>
    <row r="32" spans="1:4" x14ac:dyDescent="0.3">
      <c r="B32" s="29" t="s">
        <v>142</v>
      </c>
      <c r="C32" s="29"/>
      <c r="D32" s="29"/>
    </row>
    <row r="33" spans="1:4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  <c r="G52" s="31"/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7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7" x14ac:dyDescent="0.3">
      <c r="B63" s="12"/>
      <c r="C63" s="12"/>
      <c r="D63" s="12"/>
    </row>
    <row r="64" spans="1:7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"/>
    <row r="71" spans="1:4" x14ac:dyDescent="0.3">
      <c r="A71" s="30" t="s">
        <v>55</v>
      </c>
      <c r="B71" s="30"/>
      <c r="C71" s="30"/>
      <c r="D71" s="30"/>
    </row>
    <row r="72" spans="1:4" x14ac:dyDescent="0.3">
      <c r="B72" s="29" t="s">
        <v>23</v>
      </c>
      <c r="C72" s="29"/>
      <c r="D72" s="29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9"/>
  <sheetViews>
    <sheetView tabSelected="1" topLeftCell="A75" workbookViewId="0">
      <selection activeCell="E101" sqref="E101"/>
    </sheetView>
  </sheetViews>
  <sheetFormatPr defaultRowHeight="14.4" x14ac:dyDescent="0.3"/>
  <cols>
    <col min="1" max="1" width="4.6640625" customWidth="1"/>
    <col min="2" max="2" width="44.88671875" customWidth="1"/>
    <col min="3" max="3" width="18.77734375" customWidth="1"/>
    <col min="4" max="5" width="18.44140625" bestFit="1" customWidth="1"/>
    <col min="6" max="6" width="48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8" t="s">
        <v>244</v>
      </c>
      <c r="G1" s="19"/>
      <c r="H1" s="19"/>
      <c r="I1" s="19"/>
      <c r="J1" s="19"/>
    </row>
    <row r="2" spans="1:10" x14ac:dyDescent="0.3">
      <c r="C2" s="29" t="s">
        <v>23</v>
      </c>
      <c r="D2" s="29"/>
      <c r="E2" s="29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5">
        <f>'Financial Statements'!B42/(('Financial Statements'!B17-'Financial Statements'!B79-'Financial Statements'!B80-'Financial Statements'!B81-'Financial Statements'!B82)/365)</f>
        <v>1636.6799682087624</v>
      </c>
      <c r="D8" s="25">
        <f>'Financial Statements'!C42/(('Financial Statements'!C17-'Financial Statements'!C79-'Financial Statements'!C80-'Financial Statements'!C81-'Financial Statements'!C82)/365)</f>
        <v>1661.6631777972852</v>
      </c>
      <c r="E8" s="25">
        <f>'Financial Statements'!D42/(('Financial Statements'!D17-'Financial Statements'!D79-'Financial Statements'!D80-'Financial Statements'!D81-'Financial Statements'!D82)/365)</f>
        <v>2486.6198151220669</v>
      </c>
      <c r="F8" t="s">
        <v>222</v>
      </c>
    </row>
    <row r="9" spans="1:10" x14ac:dyDescent="0.3">
      <c r="A9" s="18">
        <f t="shared" si="0"/>
        <v>1.5000000000000004</v>
      </c>
      <c r="B9" s="1" t="s">
        <v>104</v>
      </c>
      <c r="C9" s="25">
        <f>0.5*('Financial Statements'!B39+'Financial Statements'!C39)/'Financial Statements'!B12*365</f>
        <v>9.4096740715557434</v>
      </c>
      <c r="D9" s="25">
        <f>0.5*('Financial Statements'!C39+'Financial Statements'!D39)/'Financial Statements'!C12*365</f>
        <v>9.1181020842234748</v>
      </c>
      <c r="E9" s="25">
        <f>'Financial Statements'!D39/'Financial Statements'!D12*365</f>
        <v>8.7418833562358831</v>
      </c>
      <c r="F9" t="s">
        <v>223</v>
      </c>
    </row>
    <row r="10" spans="1:10" x14ac:dyDescent="0.3">
      <c r="A10" s="18">
        <f t="shared" si="0"/>
        <v>1.6000000000000005</v>
      </c>
      <c r="B10" s="1" t="s">
        <v>105</v>
      </c>
      <c r="C10" s="25">
        <f>0.5*('Financial Statements'!B51+'Financial Statements'!C51)/'Financial Statements'!B12*365</f>
        <v>97.050428099809452</v>
      </c>
      <c r="D10" s="25">
        <f>0.5*('Financial Statements'!C51+'Financial Statements'!D51)/'Financial Statements'!C12*365</f>
        <v>83.168299050150011</v>
      </c>
      <c r="E10" s="25">
        <f>'Financial Statements'!D51/'Financial Statements'!D12*365</f>
        <v>91.048189715674198</v>
      </c>
      <c r="F10" t="s">
        <v>223</v>
      </c>
    </row>
    <row r="11" spans="1:10" x14ac:dyDescent="0.3">
      <c r="A11" s="18">
        <f t="shared" si="0"/>
        <v>1.7000000000000006</v>
      </c>
      <c r="B11" s="1" t="s">
        <v>106</v>
      </c>
      <c r="C11" s="25">
        <f>0.5*('Financial Statements'!B38+'Financial Statements'!C38)/'Financial Statements'!B8*365</f>
        <v>25.205704388225033</v>
      </c>
      <c r="D11" s="25">
        <f>0.5*('Financial Statements'!C38+'Financial Statements'!D38)/'Financial Statements'!C8*365</f>
        <v>21.151655062503931</v>
      </c>
      <c r="E11" s="25">
        <f>'Financial Statements'!D38/'Financial Statements'!D8*365</f>
        <v>21.433437152796749</v>
      </c>
      <c r="F11" t="s">
        <v>223</v>
      </c>
    </row>
    <row r="12" spans="1:10" x14ac:dyDescent="0.3">
      <c r="A12" s="18">
        <f t="shared" si="0"/>
        <v>1.8000000000000007</v>
      </c>
      <c r="B12" s="1" t="s">
        <v>107</v>
      </c>
      <c r="C12" s="25">
        <f>C9+C11-C10</f>
        <v>-62.435049640028673</v>
      </c>
      <c r="D12" s="25">
        <f>D9+D11-D10</f>
        <v>-52.898541903422604</v>
      </c>
      <c r="E12" s="25">
        <f>E9+E11-E10</f>
        <v>-60.872869206641568</v>
      </c>
    </row>
    <row r="13" spans="1:10" x14ac:dyDescent="0.3">
      <c r="A13" s="18">
        <f t="shared" si="0"/>
        <v>1.9000000000000008</v>
      </c>
      <c r="B13" s="1" t="s">
        <v>108</v>
      </c>
      <c r="C13" s="25">
        <f>('Financial Statements'!B42-'Financial Statements'!B56)/'Financial Statements'!B8</f>
        <v>-4.711052727678481E-2</v>
      </c>
      <c r="D13" s="25">
        <f>('Financial Statements'!C42-'Financial Statements'!C56)/'Financial Statements'!C8</f>
        <v>2.557289573748623E-2</v>
      </c>
      <c r="E13" s="25">
        <f>('Financial Statements'!D42-'Financial Statements'!D56)/'Financial Statements'!D8</f>
        <v>0.13959528623208203</v>
      </c>
    </row>
    <row r="14" spans="1:10" x14ac:dyDescent="0.3">
      <c r="A14" s="18"/>
      <c r="B14" s="3" t="s">
        <v>109</v>
      </c>
      <c r="C14" s="12">
        <f>('Financial Statements'!B42-'Financial Statements'!B56)</f>
        <v>-18577</v>
      </c>
      <c r="D14" s="12">
        <f>('Financial Statements'!C42-'Financial Statements'!C56)</f>
        <v>9355</v>
      </c>
      <c r="E14" s="12">
        <f>('Financial Statements'!D42-'Financial Statements'!D56)</f>
        <v>38321</v>
      </c>
      <c r="F14" t="s">
        <v>224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5">
        <f>('Financial Statements'!B18+'Financial Statements'!B79)/'Financial Statements'!B8</f>
        <v>0.3310467428130896</v>
      </c>
      <c r="D18" s="25">
        <f>('Financial Statements'!C18+'Financial Statements'!C79)/'Financial Statements'!C8</f>
        <v>0.32866979938056462</v>
      </c>
      <c r="E18" s="25">
        <f>('Financial Statements'!D18+'Financial Statements'!D79)/'Financial Statements'!D8</f>
        <v>0.2817478097736007</v>
      </c>
    </row>
    <row r="19" spans="1:6" x14ac:dyDescent="0.3">
      <c r="A19" s="18"/>
      <c r="B19" s="3" t="s">
        <v>112</v>
      </c>
      <c r="C19" s="23">
        <f>('Financial Statements'!B18+'Financial Statements'!B79)</f>
        <v>130541</v>
      </c>
      <c r="D19" s="23">
        <f>('Financial Statements'!C18+'Financial Statements'!C79)</f>
        <v>120233</v>
      </c>
      <c r="E19" s="23">
        <f>('Financial Statements'!D18+'Financial Statements'!D79)</f>
        <v>77344</v>
      </c>
      <c r="F19" t="s">
        <v>225</v>
      </c>
    </row>
    <row r="20" spans="1:6" x14ac:dyDescent="0.3">
      <c r="A20" s="18">
        <f>+A18+0.1</f>
        <v>2.3000000000000003</v>
      </c>
      <c r="B20" s="1" t="s">
        <v>113</v>
      </c>
      <c r="C20" s="26">
        <f>'Financial Statements'!B18/'Financial Statements'!B8</f>
        <v>0.30288744395528594</v>
      </c>
      <c r="D20" s="26">
        <f>'Financial Statements'!C18/'Financial Statements'!C8</f>
        <v>0.29782377527561593</v>
      </c>
      <c r="E20" s="26">
        <f>'Financial Statements'!D18/'Financial Statements'!D8</f>
        <v>0.24147314354406862</v>
      </c>
    </row>
    <row r="21" spans="1:6" x14ac:dyDescent="0.3">
      <c r="A21" s="18"/>
      <c r="B21" s="3" t="s">
        <v>114</v>
      </c>
      <c r="C21" s="23">
        <f>'Financial Statements'!B18</f>
        <v>119437</v>
      </c>
      <c r="D21" s="23">
        <f>'Financial Statements'!C18</f>
        <v>108949</v>
      </c>
      <c r="E21" s="23">
        <f>'Financial Statements'!D18</f>
        <v>66288</v>
      </c>
      <c r="F21" t="s">
        <v>225</v>
      </c>
    </row>
    <row r="22" spans="1:6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 t="shared" ref="A25:A30" si="1">+A24+0.1</f>
        <v>3.1</v>
      </c>
      <c r="B25" s="1" t="s">
        <v>117</v>
      </c>
      <c r="C25" s="25">
        <f>'Financial Statements'!B59/('Financial Statements'!B48-'Financial Statements'!B62)</f>
        <v>1.9529325860435744</v>
      </c>
      <c r="D25" s="25">
        <f>'Financial Statements'!C59/('Financial Statements'!C48-'Financial Statements'!C62)</f>
        <v>1.729370740212395</v>
      </c>
      <c r="E25" s="25">
        <f>'Financial Statements'!D59/('Financial Statements'!D48-'Financial Statements'!D62)</f>
        <v>1.5100782075024104</v>
      </c>
      <c r="F25" t="s">
        <v>229</v>
      </c>
    </row>
    <row r="26" spans="1:6" x14ac:dyDescent="0.3">
      <c r="A26" s="18">
        <f t="shared" si="1"/>
        <v>3.2</v>
      </c>
      <c r="B26" s="1" t="s">
        <v>118</v>
      </c>
      <c r="C26" s="25">
        <f>'Financial Statements'!B59/'Financial Statements'!B48</f>
        <v>0.28053181386514719</v>
      </c>
      <c r="D26" s="25">
        <f>'Financial Statements'!C59/'Financial Statements'!C48</f>
        <v>0.31084153366647482</v>
      </c>
      <c r="E26" s="25">
        <f>'Financial Statements'!D59/'Financial Statements'!D48</f>
        <v>0.30463308304105124</v>
      </c>
      <c r="F26" t="s">
        <v>229</v>
      </c>
    </row>
    <row r="27" spans="1:6" x14ac:dyDescent="0.3">
      <c r="A27" s="18">
        <f t="shared" si="1"/>
        <v>3.3000000000000003</v>
      </c>
      <c r="B27" s="1" t="s">
        <v>119</v>
      </c>
      <c r="C27" s="25">
        <f>'Financial Statements'!B59/('Financial Statements'!B59+'Financial Statements'!B48-'Financial Statements'!B62)</f>
        <v>0.66135359651409131</v>
      </c>
      <c r="D27" s="25">
        <f>'Financial Statements'!C59/('Financial Statements'!C59+'Financial Statements'!C48-'Financial Statements'!C62)</f>
        <v>0.63361518269878514</v>
      </c>
      <c r="E27" s="25">
        <f>'Financial Statements'!D59/('Financial Statements'!D59+'Financial Statements'!D48-'Financial Statements'!D62)</f>
        <v>0.60160603880345842</v>
      </c>
      <c r="F27" t="s">
        <v>226</v>
      </c>
    </row>
    <row r="28" spans="1:6" x14ac:dyDescent="0.3">
      <c r="A28" s="18">
        <f t="shared" si="1"/>
        <v>3.4000000000000004</v>
      </c>
      <c r="B28" s="1" t="s">
        <v>120</v>
      </c>
      <c r="C28" s="25">
        <f>('Financial Statements'!B18+'Financial Statements'!B79)/'Financial Statements'!B114</f>
        <v>45.564048865619547</v>
      </c>
      <c r="D28" s="25">
        <f>('Financial Statements'!C18+'Financial Statements'!C79)/'Financial Statements'!C114</f>
        <v>44.746185336806846</v>
      </c>
      <c r="E28" s="25">
        <f>('Financial Statements'!D18+'Financial Statements'!D79)/'Financial Statements'!D114</f>
        <v>25.764157228514325</v>
      </c>
      <c r="F28" t="s">
        <v>227</v>
      </c>
    </row>
    <row r="29" spans="1:6" x14ac:dyDescent="0.3">
      <c r="A29" s="18">
        <f t="shared" si="1"/>
        <v>3.5000000000000004</v>
      </c>
      <c r="B29" s="1" t="s">
        <v>121</v>
      </c>
      <c r="C29" s="25">
        <f>'Financial Statements'!B18/(-'Financial Statements'!B105+'Financial Statements'!B114)</f>
        <v>9.6258059316569948</v>
      </c>
      <c r="D29" s="25">
        <f>'Financial Statements'!C18/(-'Financial Statements'!C105+'Financial Statements'!C114)</f>
        <v>9.5260120661012504</v>
      </c>
      <c r="E29" s="25">
        <f>'Financial Statements'!D18/(-'Financial Statements'!D105+'Financial Statements'!D114)</f>
        <v>4.2408035314439259</v>
      </c>
      <c r="F29" t="s">
        <v>228</v>
      </c>
    </row>
    <row r="30" spans="1:6" x14ac:dyDescent="0.3">
      <c r="A30" s="18">
        <f t="shared" si="1"/>
        <v>3.6000000000000005</v>
      </c>
      <c r="B30" s="1" t="s">
        <v>122</v>
      </c>
      <c r="C30" s="25">
        <f>C31*1000/'Financial Statements'!B28</f>
        <v>8.4727142938433904</v>
      </c>
      <c r="D30" s="25">
        <f>D31*1000/'Financial Statements'!C28</f>
        <v>8.0353780531053847</v>
      </c>
      <c r="E30" s="25">
        <f>E31*1000/'Financial Statements'!D28</f>
        <v>5.9375130860451613</v>
      </c>
      <c r="F30" t="s">
        <v>230</v>
      </c>
    </row>
    <row r="31" spans="1:6" x14ac:dyDescent="0.3">
      <c r="A31" s="18"/>
      <c r="B31" s="3" t="s">
        <v>123</v>
      </c>
      <c r="C31">
        <f>'Financial Statements'!B91-'Financial Statements'!B96+'Financial Statements'!B104</f>
        <v>138324</v>
      </c>
      <c r="D31">
        <f>'Financial Statements'!C91-'Financial Statements'!C96+'Financial Statements'!C104</f>
        <v>135516</v>
      </c>
      <c r="E31">
        <f>'Financial Statements'!D91-'Financial Statements'!D96+'Financial Statements'!D104</f>
        <v>104074</v>
      </c>
      <c r="F31" t="s">
        <v>242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5">
        <f>'Financial Statements'!B8/(('Financial Statements'!B48+'Financial Statements'!C48)/2)</f>
        <v>1.1206368107173357</v>
      </c>
      <c r="D34" s="25">
        <f>'Financial Statements'!C8/(('Financial Statements'!C48+'Financial Statements'!D48)/2)</f>
        <v>1.084078886929722</v>
      </c>
      <c r="E34" s="25">
        <f>'Financial Statements'!D8/'Financial Statements'!D48</f>
        <v>0.84756150274168851</v>
      </c>
      <c r="F34" t="s">
        <v>231</v>
      </c>
    </row>
    <row r="35" spans="1:6" x14ac:dyDescent="0.3">
      <c r="A35" s="18">
        <f>+A34+0.1</f>
        <v>4.1999999999999993</v>
      </c>
      <c r="B35" s="1" t="s">
        <v>126</v>
      </c>
      <c r="C35" s="25">
        <f>'Financial Statements'!B8/(('Financial Statements'!B45+'Financial Statements'!C45)/2)</f>
        <v>9.6699976703409884</v>
      </c>
      <c r="D35" s="25">
        <f>'Financial Statements'!C8/(('Financial Statements'!C45+'Financial Statements'!D45)/2)</f>
        <v>9.6007400992047867</v>
      </c>
      <c r="E35" s="25">
        <f>'Financial Statements'!D8/'Financial Statements'!D45</f>
        <v>7.4665451776097482</v>
      </c>
      <c r="F35" t="s">
        <v>231</v>
      </c>
    </row>
    <row r="36" spans="1:6" x14ac:dyDescent="0.3">
      <c r="A36" s="18">
        <f>+A35+0.1</f>
        <v>4.2999999999999989</v>
      </c>
      <c r="B36" s="1" t="s">
        <v>127</v>
      </c>
      <c r="C36" s="25">
        <f>'Financial Statements'!B12/(('Financial Statements'!B39+'Financial Statements'!C39)/2)</f>
        <v>38.789866389033492</v>
      </c>
      <c r="D36" s="25">
        <f>'Financial Statements'!C12/(('Financial Statements'!C39+'Financial Statements'!D39)/2)</f>
        <v>40.030260313880277</v>
      </c>
      <c r="E36" s="25">
        <f>'Financial Statements'!D12/'Financial Statements'!D39</f>
        <v>41.753016498399411</v>
      </c>
      <c r="F36" t="s">
        <v>231</v>
      </c>
    </row>
    <row r="37" spans="1:6" x14ac:dyDescent="0.3">
      <c r="A37" s="18">
        <f>+A36+0.1</f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  <c r="F37" t="s">
        <v>232</v>
      </c>
    </row>
    <row r="38" spans="1:6" x14ac:dyDescent="0.3">
      <c r="A38" s="18"/>
      <c r="C38" s="25"/>
      <c r="D38" s="25"/>
      <c r="E38" s="25"/>
    </row>
    <row r="39" spans="1:6" x14ac:dyDescent="0.3">
      <c r="A39" s="18">
        <f>+A33+1</f>
        <v>5</v>
      </c>
      <c r="B39" s="17" t="s">
        <v>129</v>
      </c>
      <c r="C39" s="25"/>
      <c r="D39" s="25"/>
      <c r="E39" s="25"/>
    </row>
    <row r="40" spans="1:6" x14ac:dyDescent="0.3">
      <c r="A40" s="18">
        <f>+A39+0.1</f>
        <v>5.0999999999999996</v>
      </c>
      <c r="B40" s="1" t="s">
        <v>130</v>
      </c>
      <c r="C40" s="25">
        <f>191.17/C41</f>
        <v>31.271673378856345</v>
      </c>
      <c r="D40" s="25">
        <f t="shared" ref="D40:E40" si="2">191.17/D41</f>
        <v>34.052245091149132</v>
      </c>
      <c r="E40" s="25">
        <f t="shared" si="2"/>
        <v>58.366317785441808</v>
      </c>
    </row>
    <row r="41" spans="1:6" x14ac:dyDescent="0.3">
      <c r="A41" s="18">
        <f>+A40+0.1</f>
        <v>5.1999999999999993</v>
      </c>
      <c r="B41" s="3" t="s">
        <v>131</v>
      </c>
      <c r="C41" s="25">
        <f>'Financial Statements'!B22*1000/'Financial Statements'!B28</f>
        <v>6.1132002014722815</v>
      </c>
      <c r="D41" s="25">
        <f>'Financial Statements'!C22*1000/'Financial Statements'!C28</f>
        <v>5.6140204408927197</v>
      </c>
      <c r="E41" s="25">
        <f>'Financial Statements'!D22*1000/'Financial Statements'!D28</f>
        <v>3.2753479618630856</v>
      </c>
    </row>
    <row r="42" spans="1:6" x14ac:dyDescent="0.3">
      <c r="A42" s="18">
        <f>+A41+0.1</f>
        <v>5.2999999999999989</v>
      </c>
      <c r="B42" s="1" t="s">
        <v>132</v>
      </c>
      <c r="C42" s="25">
        <f>191.17/C43</f>
        <v>61.592335377131356</v>
      </c>
      <c r="D42" s="25">
        <f t="shared" ref="D42:E42" si="3">191.17/D43</f>
        <v>51.102655971310824</v>
      </c>
      <c r="E42" s="25">
        <f t="shared" si="3"/>
        <v>51.284358046189865</v>
      </c>
      <c r="F42" t="s">
        <v>234</v>
      </c>
    </row>
    <row r="43" spans="1:6" x14ac:dyDescent="0.3">
      <c r="A43" s="18">
        <f>+A42+0.1</f>
        <v>5.3999999999999986</v>
      </c>
      <c r="B43" s="3" t="s">
        <v>133</v>
      </c>
      <c r="C43" s="25">
        <f>'Financial Statements'!B68*1000/'Financial Statements'!B28</f>
        <v>3.1037952827971447</v>
      </c>
      <c r="D43" s="25">
        <f>'Financial Statements'!C68*1000/'Financial Statements'!C28</f>
        <v>3.740901453484597</v>
      </c>
      <c r="E43" s="25">
        <f>'Financial Statements'!D68*1000/'Financial Statements'!D28</f>
        <v>3.7276473233382479</v>
      </c>
      <c r="F43" t="s">
        <v>233</v>
      </c>
    </row>
    <row r="44" spans="1:6" x14ac:dyDescent="0.3">
      <c r="A44" s="18">
        <f>+A43+0.1</f>
        <v>5.4999999999999982</v>
      </c>
      <c r="B44" s="1" t="s">
        <v>134</v>
      </c>
      <c r="C44" s="25">
        <f>C45/C41</f>
        <v>0.14870294480125848</v>
      </c>
      <c r="D44" s="25">
        <f t="shared" ref="D44:E44" si="4">D45/D41</f>
        <v>0.15279890156316012</v>
      </c>
      <c r="E44" s="25">
        <f t="shared" si="4"/>
        <v>0.24526658654264863</v>
      </c>
      <c r="F44" t="s">
        <v>235</v>
      </c>
    </row>
    <row r="45" spans="1:6" x14ac:dyDescent="0.3">
      <c r="A45" s="18"/>
      <c r="B45" s="3" t="s">
        <v>135</v>
      </c>
      <c r="C45" s="25">
        <f>-('Financial Statements'!B102*1000)/'Financial Statements'!B28</f>
        <v>0.90905087211857483</v>
      </c>
      <c r="D45" s="25">
        <f>-('Financial Statements'!C102*1000)/'Financial Statements'!C28</f>
        <v>0.85781615672153544</v>
      </c>
      <c r="E45" s="25">
        <f>-('Financial Statements'!D102*1000)/'Financial Statements'!D28</f>
        <v>0.80333341434558025</v>
      </c>
      <c r="F45" t="s">
        <v>243</v>
      </c>
    </row>
    <row r="46" spans="1:6" x14ac:dyDescent="0.3">
      <c r="A46" s="18">
        <f>+A44+0.1</f>
        <v>5.5999999999999979</v>
      </c>
      <c r="B46" s="1" t="s">
        <v>136</v>
      </c>
      <c r="C46" s="25">
        <f>C45/191.17</f>
        <v>4.7551962761865092E-3</v>
      </c>
      <c r="D46" s="25">
        <f t="shared" ref="D46:E46" si="5">D45/191.17</f>
        <v>4.4871902323666661E-3</v>
      </c>
      <c r="E46" s="25">
        <f t="shared" si="5"/>
        <v>4.2021939339100291E-3</v>
      </c>
      <c r="F46" t="s">
        <v>236</v>
      </c>
    </row>
    <row r="47" spans="1:6" x14ac:dyDescent="0.3">
      <c r="A47" s="18">
        <f>+A45+0.1</f>
        <v>0.1</v>
      </c>
      <c r="B47" s="1" t="s">
        <v>137</v>
      </c>
      <c r="C47" s="25">
        <f>'Financial Statements'!B22/(0.5*('Financial Statements'!B68+'Financial Statements'!C68))</f>
        <v>1.7545929220653644</v>
      </c>
      <c r="D47" s="25">
        <f>'Financial Statements'!C22/(0.5*('Financial Statements'!C68+'Financial Statements'!D68))</f>
        <v>1.4744333444938449</v>
      </c>
      <c r="E47" s="25">
        <f>'Financial Statements'!D22/'Financial Statements'!D68</f>
        <v>0.87866358530127486</v>
      </c>
      <c r="F47" t="s">
        <v>237</v>
      </c>
    </row>
    <row r="48" spans="1:6" x14ac:dyDescent="0.3">
      <c r="A48" s="18">
        <f>+A46+0.1</f>
        <v>5.6999999999999975</v>
      </c>
      <c r="B48" s="1" t="s">
        <v>138</v>
      </c>
      <c r="C48" s="25">
        <f>'Financial Statements'!B18/('Financial Statements'!B68+'Financial Statements'!B59)</f>
        <v>0.79821026391589978</v>
      </c>
      <c r="D48" s="25">
        <f>'Financial Statements'!C18/('Financial Statements'!C68+'Financial Statements'!C59)</f>
        <v>0.63270343097400639</v>
      </c>
      <c r="E48" s="25">
        <f>'Financial Statements'!D18/('Financial Statements'!D68+'Financial Statements'!D59)</f>
        <v>0.40418033486579757</v>
      </c>
      <c r="F48" t="s">
        <v>238</v>
      </c>
    </row>
    <row r="49" spans="1:6" x14ac:dyDescent="0.3">
      <c r="A49" s="18">
        <f>+A47+0.1</f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6" x14ac:dyDescent="0.3">
      <c r="A50" s="18">
        <f>+A48+0.1</f>
        <v>5.7999999999999972</v>
      </c>
      <c r="B50" s="1" t="s">
        <v>139</v>
      </c>
      <c r="C50" s="25">
        <f>C51/(('Financial Statements'!B18+'Financial Statements'!B79))</f>
        <v>24.646891154732995</v>
      </c>
      <c r="D50" s="25">
        <f>D51/(('Financial Statements'!C18+'Financial Statements'!C79))</f>
        <v>27.56186375811965</v>
      </c>
      <c r="E50" s="25">
        <f>E51/(('Financial Statements'!D18+'Financial Statements'!D79))</f>
        <v>44.286417438715347</v>
      </c>
    </row>
    <row r="51" spans="1:6" x14ac:dyDescent="0.3">
      <c r="A51" s="18"/>
      <c r="B51" s="3" t="s">
        <v>140</v>
      </c>
      <c r="C51">
        <f>(191.17*'Financial Statements'!B28/1000)+'Financial Statements'!B59+'Financial Statements'!B54+'Financial Statements'!B55-'Financial Statements'!B36</f>
        <v>3217429.8182299999</v>
      </c>
      <c r="D51">
        <f>(191.17*'Financial Statements'!C28/1000)+'Financial Statements'!C59+'Financial Statements'!C54+'Financial Statements'!C55-'Financial Statements'!C36</f>
        <v>3313845.5652299998</v>
      </c>
      <c r="E51">
        <f>(191.17*'Financial Statements'!D28/1000)+'Financial Statements'!D59+'Financial Statements'!D54+'Financial Statements'!D55-'Financial Statements'!D36</f>
        <v>3425288.6703799996</v>
      </c>
      <c r="F51" t="s">
        <v>239</v>
      </c>
    </row>
    <row r="53" spans="1:6" x14ac:dyDescent="0.3">
      <c r="A53" s="18"/>
      <c r="B53" s="7" t="s">
        <v>194</v>
      </c>
    </row>
    <row r="54" spans="1:6" x14ac:dyDescent="0.3">
      <c r="B54" t="s">
        <v>192</v>
      </c>
      <c r="C54" s="27">
        <f>('Financial Statements'!B6-'Financial Statements'!C6)/'Financial Statements'!C6</f>
        <v>6.3239764351428418E-2</v>
      </c>
      <c r="D54" s="27">
        <f>('Financial Statements'!C6-'Financial Statements'!D6)/'Financial Statements'!D6</f>
        <v>0.34720743656765435</v>
      </c>
      <c r="E54" s="27"/>
    </row>
    <row r="55" spans="1:6" x14ac:dyDescent="0.3">
      <c r="B55" s="24" t="s">
        <v>193</v>
      </c>
      <c r="C55" s="27">
        <f>('Financial Statements'!B7-'Financial Statements'!C7)/'Financial Statements'!C7</f>
        <v>0.14181951041286078</v>
      </c>
      <c r="D55" s="27">
        <f>('Financial Statements'!C7-'Financial Statements'!D7)/'Financial Statements'!D7</f>
        <v>0.27259708376729652</v>
      </c>
      <c r="E55" s="27"/>
    </row>
    <row r="56" spans="1:6" x14ac:dyDescent="0.3">
      <c r="B56" t="s">
        <v>195</v>
      </c>
      <c r="C56" s="27">
        <f>('Financial Statements'!B8-'Financial Statements'!C8)/'Financial Statements'!C8</f>
        <v>7.7937876041846058E-2</v>
      </c>
      <c r="D56" s="27">
        <f>('Financial Statements'!C8-'Financial Statements'!D8)/'Financial Statements'!D8</f>
        <v>0.33259384733074693</v>
      </c>
      <c r="E56" s="27"/>
    </row>
    <row r="57" spans="1:6" x14ac:dyDescent="0.3">
      <c r="B57" t="s">
        <v>196</v>
      </c>
      <c r="C57" s="27">
        <f>('Financial Statements'!B13-'Financial Statements'!C13)/'Financial Statements'!C13</f>
        <v>0.11741997958596143</v>
      </c>
      <c r="D57" s="27">
        <f>('Financial Statements'!C13-'Financial Statements'!D13)/'Financial Statements'!D13</f>
        <v>0.45619116582186819</v>
      </c>
      <c r="E57" s="27"/>
    </row>
    <row r="58" spans="1:6" x14ac:dyDescent="0.3">
      <c r="B58" t="s">
        <v>208</v>
      </c>
      <c r="C58" s="27">
        <f>('Financial Statements'!B15-'Financial Statements'!C15)/'Financial Statements'!C15</f>
        <v>0.19791001186456147</v>
      </c>
      <c r="D58" s="27">
        <f>('Financial Statements'!C15-'Financial Statements'!D15)/'Financial Statements'!D15</f>
        <v>0.16862201365187712</v>
      </c>
      <c r="E58" s="27"/>
    </row>
    <row r="59" spans="1:6" x14ac:dyDescent="0.3">
      <c r="B59" t="s">
        <v>207</v>
      </c>
      <c r="C59" s="27">
        <f>('Financial Statements'!B16-'Financial Statements'!C16)/'Financial Statements'!C16</f>
        <v>0.14203795567287125</v>
      </c>
      <c r="D59" s="27">
        <f>('Financial Statements'!C16-'Financial Statements'!D16)/'Financial Statements'!D16</f>
        <v>0.10328379192608958</v>
      </c>
      <c r="E59" s="27"/>
    </row>
    <row r="60" spans="1:6" x14ac:dyDescent="0.3">
      <c r="B60" t="s">
        <v>197</v>
      </c>
      <c r="C60" s="27">
        <f>('Financial Statements'!B18-'Financial Statements'!C18)/'Financial Statements'!C18</f>
        <v>9.6265225013538444E-2</v>
      </c>
      <c r="D60" s="27">
        <f>('Financial Statements'!C18-'Financial Statements'!D18)/'Financial Statements'!D18</f>
        <v>0.64357048032826458</v>
      </c>
      <c r="E60" s="27"/>
    </row>
    <row r="61" spans="1:6" x14ac:dyDescent="0.3">
      <c r="B61" s="24" t="s">
        <v>198</v>
      </c>
      <c r="C61" s="27">
        <f>('Financial Statements'!B22-'Financial Statements'!C22)/'Financial Statements'!C22</f>
        <v>5.4108576256865229E-2</v>
      </c>
      <c r="D61" s="27">
        <f>('Financial Statements'!C22-'Financial Statements'!D22)/'Financial Statements'!D22</f>
        <v>0.64916131055024295</v>
      </c>
      <c r="E61" s="27"/>
    </row>
    <row r="62" spans="1:6" x14ac:dyDescent="0.3">
      <c r="B62" s="24" t="s">
        <v>214</v>
      </c>
      <c r="C62" s="27">
        <f>('Financial Statements'!B42-'Financial Statements'!C42)/'Financial Statements'!C42</f>
        <v>4.2199412619775131E-3</v>
      </c>
      <c r="D62" s="27">
        <f>('Financial Statements'!C42-'Financial Statements'!D42)/'Financial Statements'!D42</f>
        <v>-6.176894226687913E-2</v>
      </c>
      <c r="E62" s="27"/>
    </row>
    <row r="63" spans="1:6" x14ac:dyDescent="0.3">
      <c r="B63" s="24" t="s">
        <v>215</v>
      </c>
      <c r="C63" s="27">
        <f>('Financial Statements'!B47-'Financial Statements'!C47)/'Financial Statements'!C47</f>
        <v>5.4772720964443994E-3</v>
      </c>
      <c r="D63" s="27">
        <f>('Financial Statements'!C47-'Financial Statements'!D47)/'Financial Statements'!D47</f>
        <v>0.19975579297904814</v>
      </c>
      <c r="E63" s="27"/>
    </row>
    <row r="64" spans="1:6" x14ac:dyDescent="0.3">
      <c r="B64" s="24" t="s">
        <v>216</v>
      </c>
      <c r="C64" s="27">
        <f>('Financial Statements'!B48-'Financial Statements'!C48)/'Financial Statements'!C48</f>
        <v>4.9942735369029236E-3</v>
      </c>
      <c r="D64" s="27">
        <f>('Financial Statements'!C48-'Financial Statements'!D48)/'Financial Statements'!D48</f>
        <v>8.3714123400681711E-2</v>
      </c>
      <c r="E64" s="27"/>
    </row>
    <row r="65" spans="2:7" x14ac:dyDescent="0.3">
      <c r="B65" s="24" t="s">
        <v>217</v>
      </c>
      <c r="C65" s="27">
        <f>('Financial Statements'!B56-'Financial Statements'!C56)/'Financial Statements'!C56</f>
        <v>0.22713398841258836</v>
      </c>
      <c r="D65" s="27">
        <f>('Financial Statements'!C56-'Financial Statements'!D56)/'Financial Statements'!D56</f>
        <v>0.19061219067860938</v>
      </c>
      <c r="E65" s="27"/>
    </row>
    <row r="66" spans="2:7" x14ac:dyDescent="0.3">
      <c r="B66" s="24" t="s">
        <v>218</v>
      </c>
      <c r="C66" s="27">
        <f>('Financial Statements'!B61-'Financial Statements'!C61)/'Financial Statements'!C61</f>
        <v>-8.8222075835277747E-2</v>
      </c>
      <c r="D66" s="27">
        <f>('Financial Statements'!C61-'Financial Statements'!D61)/'Financial Statements'!D61</f>
        <v>6.0552243775994566E-2</v>
      </c>
      <c r="E66" s="27"/>
    </row>
    <row r="67" spans="2:7" x14ac:dyDescent="0.3">
      <c r="B67" t="s">
        <v>219</v>
      </c>
      <c r="C67" s="27">
        <f>('Financial Statements'!B62-'Financial Statements'!C62)/'Financial Statements'!C62</f>
        <v>4.9219900525160468E-2</v>
      </c>
      <c r="D67" s="27">
        <f>('Financial Statements'!C62-'Financial Statements'!D62)/'Financial Statements'!D62</f>
        <v>0.11356841449783213</v>
      </c>
      <c r="E67" s="27"/>
      <c r="G67" s="1"/>
    </row>
    <row r="68" spans="2:7" x14ac:dyDescent="0.3">
      <c r="B68" t="s">
        <v>220</v>
      </c>
      <c r="C68" s="27">
        <f>('Financial Statements'!B68-'Financial Statements'!C68)/'Financial Statements'!C68</f>
        <v>-0.19682992550324932</v>
      </c>
      <c r="D68" s="27">
        <f>('Financial Statements'!C68-'Financial Statements'!D68)/'Financial Statements'!D68</f>
        <v>-3.4420483937617659E-2</v>
      </c>
      <c r="E68" s="27"/>
      <c r="G68" s="1"/>
    </row>
    <row r="69" spans="2:7" x14ac:dyDescent="0.3">
      <c r="B69" t="s">
        <v>221</v>
      </c>
      <c r="C69" s="27">
        <f>('Financial Statements'!B69-'Financial Statements'!C69)/'Financial Statements'!C69</f>
        <v>4.9942735369029236E-3</v>
      </c>
      <c r="D69" s="27">
        <f>('Financial Statements'!C69-'Financial Statements'!D69)/'Financial Statements'!D69</f>
        <v>8.3714123400681711E-2</v>
      </c>
      <c r="E69" s="27"/>
      <c r="G69" s="1"/>
    </row>
    <row r="70" spans="2:7" x14ac:dyDescent="0.3">
      <c r="B70" s="1"/>
      <c r="C70" s="27"/>
      <c r="D70" s="27"/>
      <c r="E70" s="27"/>
      <c r="G70" s="1"/>
    </row>
    <row r="71" spans="2:7" x14ac:dyDescent="0.3">
      <c r="B71" s="7" t="s">
        <v>210</v>
      </c>
      <c r="C71" s="27"/>
      <c r="D71" s="27"/>
      <c r="E71" s="27"/>
      <c r="G71" s="1"/>
    </row>
    <row r="72" spans="2:7" x14ac:dyDescent="0.3">
      <c r="B72" t="s">
        <v>205</v>
      </c>
      <c r="C72" s="27">
        <f>'Financial Statements'!B12/'Financial Statements'!B8</f>
        <v>0.56690369438639909</v>
      </c>
      <c r="D72" s="27">
        <f>'Financial Statements'!C12/'Financial Statements'!C8</f>
        <v>0.58220640374832222</v>
      </c>
      <c r="E72" s="27">
        <f>'Financial Statements'!D12/'Financial Statements'!D8</f>
        <v>0.61766752272189129</v>
      </c>
      <c r="G72" s="1"/>
    </row>
    <row r="73" spans="2:7" x14ac:dyDescent="0.3">
      <c r="B73" t="s">
        <v>211</v>
      </c>
      <c r="C73" s="27">
        <f>('Financial Statements'!B8-'Financial Statements'!B12)/'Financial Statements'!B8</f>
        <v>0.43309630561360085</v>
      </c>
      <c r="D73" s="27">
        <f>('Financial Statements'!C8-'Financial Statements'!C12)/'Financial Statements'!C8</f>
        <v>0.41779359625167778</v>
      </c>
      <c r="E73" s="27">
        <f>('Financial Statements'!D8-'Financial Statements'!D12)/'Financial Statements'!D8</f>
        <v>0.38233247727810865</v>
      </c>
    </row>
    <row r="74" spans="2:7" x14ac:dyDescent="0.3">
      <c r="B74" t="s">
        <v>206</v>
      </c>
      <c r="C74" s="27">
        <f>'Financial Statements'!B15/'Financial Statements'!B8</f>
        <v>6.657148363798665E-2</v>
      </c>
      <c r="D74" s="27">
        <f>'Financial Statements'!C15/'Financial Statements'!C8</f>
        <v>5.9904269074427925E-2</v>
      </c>
      <c r="E74" s="27">
        <f>'Financial Statements'!D15/'Financial Statements'!D8</f>
        <v>6.8309564140393061E-2</v>
      </c>
    </row>
    <row r="75" spans="2:7" x14ac:dyDescent="0.3">
      <c r="B75" t="s">
        <v>209</v>
      </c>
      <c r="C75" s="27">
        <f>'Financial Statements'!B16/'Financial Statements'!B8</f>
        <v>6.3637378020328261E-2</v>
      </c>
      <c r="D75" s="27">
        <f>'Financial Statements'!C16/'Financial Statements'!C8</f>
        <v>6.006555190163388E-2</v>
      </c>
      <c r="E75" s="27">
        <f>'Financial Statements'!D16/'Financial Statements'!D8</f>
        <v>7.2549769593646979E-2</v>
      </c>
    </row>
    <row r="76" spans="2:7" x14ac:dyDescent="0.3">
      <c r="B76" t="s">
        <v>212</v>
      </c>
      <c r="C76" s="27">
        <f>'Financial Statements'!B20/'Financial Statements'!B8</f>
        <v>0.30204043334482966</v>
      </c>
      <c r="D76" s="27">
        <f>'Financial Statements'!C20/'Financial Statements'!C8</f>
        <v>0.29852904594373691</v>
      </c>
      <c r="E76" s="27">
        <f>'Financial Statements'!D20/'Financial Statements'!D8</f>
        <v>0.24439830246070343</v>
      </c>
    </row>
    <row r="77" spans="2:7" x14ac:dyDescent="0.3">
      <c r="B77" t="s">
        <v>213</v>
      </c>
      <c r="C77" s="27">
        <f>'Financial Statements'!B22/'Financial Statements'!B8</f>
        <v>0.25309640705199732</v>
      </c>
      <c r="D77" s="27">
        <f>'Financial Statements'!C22/'Financial Statements'!C8</f>
        <v>0.25881793355694238</v>
      </c>
      <c r="E77" s="27">
        <f>'Financial Statements'!D22/'Financial Statements'!D8</f>
        <v>0.20913611278072236</v>
      </c>
    </row>
    <row r="78" spans="2:7" x14ac:dyDescent="0.3">
      <c r="B78" s="1"/>
      <c r="C78" s="27"/>
      <c r="D78" s="27"/>
      <c r="E78" s="27"/>
    </row>
    <row r="79" spans="2:7" x14ac:dyDescent="0.3">
      <c r="C79" s="27"/>
      <c r="D79" s="27"/>
      <c r="E79" s="27"/>
    </row>
    <row r="80" spans="2:7" x14ac:dyDescent="0.3">
      <c r="C80" s="27"/>
      <c r="D80" s="27"/>
      <c r="E80" s="27"/>
    </row>
    <row r="81" spans="1:6" x14ac:dyDescent="0.3">
      <c r="C81" s="27"/>
      <c r="D81" s="27"/>
      <c r="E81" s="27"/>
    </row>
    <row r="82" spans="1:6" x14ac:dyDescent="0.3">
      <c r="C82" s="27"/>
      <c r="D82" s="27"/>
      <c r="E82" s="27"/>
    </row>
    <row r="83" spans="1:6" x14ac:dyDescent="0.3">
      <c r="C83" s="27"/>
      <c r="D83" s="27"/>
      <c r="E83" s="27"/>
    </row>
    <row r="84" spans="1:6" x14ac:dyDescent="0.3">
      <c r="B84" s="1" t="s">
        <v>204</v>
      </c>
      <c r="C84" s="27">
        <f>'Financial Statements'!B21/'Financial Statements'!B20</f>
        <v>0.16204461684424407</v>
      </c>
      <c r="D84" s="27">
        <f>'Financial Statements'!C21/'Financial Statements'!C20</f>
        <v>0.13302260844085087</v>
      </c>
      <c r="E84" s="27">
        <f>'Financial Statements'!D21/'Financial Statements'!D20</f>
        <v>0.14428164731484103</v>
      </c>
      <c r="F84" t="s">
        <v>240</v>
      </c>
    </row>
    <row r="85" spans="1:6" x14ac:dyDescent="0.3">
      <c r="B85" s="1"/>
      <c r="C85" s="27"/>
      <c r="D85" s="27"/>
      <c r="E85" s="27"/>
    </row>
    <row r="86" spans="1:6" x14ac:dyDescent="0.3">
      <c r="B86" s="7" t="s">
        <v>199</v>
      </c>
      <c r="C86" s="27"/>
      <c r="D86" s="27"/>
      <c r="E86" s="27"/>
    </row>
    <row r="87" spans="1:6" x14ac:dyDescent="0.3">
      <c r="A87" s="18"/>
      <c r="B87" s="1" t="s">
        <v>200</v>
      </c>
      <c r="C87" s="27">
        <f>-'Financial Statements'!B96/'Financial Statements'!B8</f>
        <v>2.7155058732831552E-2</v>
      </c>
      <c r="D87" s="27">
        <f>-'Financial Statements'!C96/'Financial Statements'!C8</f>
        <v>3.0302036264033657E-2</v>
      </c>
      <c r="E87" s="27">
        <f>-'Financial Statements'!D96/'Financial Statements'!D8</f>
        <v>2.6625138881299748E-2</v>
      </c>
    </row>
    <row r="88" spans="1:6" x14ac:dyDescent="0.3">
      <c r="B88" s="1" t="s">
        <v>201</v>
      </c>
      <c r="C88" s="27">
        <f>-'Financial Statements'!B96/'Financial Statements'!B45</f>
        <v>0.25424412944891611</v>
      </c>
      <c r="D88" s="27">
        <f>-'Financial Statements'!C96/'Financial Statements'!C45</f>
        <v>0.28105983772819471</v>
      </c>
      <c r="E88" s="27">
        <f>-'Financial Statements'!D96/'Financial Statements'!D45</f>
        <v>0.19879780231735844</v>
      </c>
    </row>
    <row r="89" spans="1:6" x14ac:dyDescent="0.3">
      <c r="C89" s="27"/>
      <c r="D89" s="27"/>
      <c r="E89" s="27"/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C3CB-B488-481F-B256-1F1D1F2A3D0C}">
  <dimension ref="A1:J89"/>
  <sheetViews>
    <sheetView topLeftCell="C1" workbookViewId="0">
      <selection activeCell="C8" sqref="C8"/>
    </sheetView>
  </sheetViews>
  <sheetFormatPr defaultRowHeight="14.4" x14ac:dyDescent="0.3"/>
  <cols>
    <col min="1" max="1" width="4.6640625" customWidth="1"/>
    <col min="2" max="2" width="44.88671875" customWidth="1"/>
    <col min="3" max="3" width="18.77734375" customWidth="1"/>
    <col min="4" max="5" width="18.44140625" bestFit="1" customWidth="1"/>
    <col min="6" max="6" width="48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8" t="s">
        <v>244</v>
      </c>
      <c r="G1" s="19"/>
      <c r="H1" s="19"/>
      <c r="I1" s="19"/>
      <c r="J1" s="19"/>
    </row>
    <row r="2" spans="1:10" x14ac:dyDescent="0.3">
      <c r="C2" s="29" t="s">
        <v>23</v>
      </c>
      <c r="D2" s="29"/>
      <c r="E2" s="29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5">
        <f>'Financial Statements'!B42/('Financial Statements'!B17/365)</f>
        <v>962.56354075372474</v>
      </c>
      <c r="D8" s="25">
        <f>'Financial Statements'!C42/('Financial Statements'!C17/365)</f>
        <v>1121.4058832911796</v>
      </c>
      <c r="E8" s="25">
        <f>'Financial Statements'!D42/('Financial Statements'!D17/365)</f>
        <v>1356.5543860556534</v>
      </c>
      <c r="F8" t="s">
        <v>222</v>
      </c>
    </row>
    <row r="9" spans="1:10" x14ac:dyDescent="0.3">
      <c r="A9" s="18">
        <f t="shared" si="0"/>
        <v>1.5000000000000004</v>
      </c>
      <c r="B9" s="1" t="s">
        <v>104</v>
      </c>
      <c r="C9" s="25">
        <f>0.5*('Financial Statements'!B39+'Financial Statements'!C39)/'Financial Statements'!B12*365</f>
        <v>9.4096740715557434</v>
      </c>
      <c r="D9" s="25">
        <f>0.5*('Financial Statements'!C39+'Financial Statements'!D39)/'Financial Statements'!C12*365</f>
        <v>9.1181020842234748</v>
      </c>
      <c r="E9" s="25">
        <f>0.5*('Financial Statements'!D39+'Financial Statements'!E39)/'Financial Statements'!D12*365</f>
        <v>4.3709416781179415</v>
      </c>
      <c r="F9" t="s">
        <v>223</v>
      </c>
    </row>
    <row r="10" spans="1:10" x14ac:dyDescent="0.3">
      <c r="A10" s="18">
        <f t="shared" si="0"/>
        <v>1.6000000000000005</v>
      </c>
      <c r="B10" s="1" t="s">
        <v>105</v>
      </c>
      <c r="C10" s="25">
        <f>0.5*('Financial Statements'!B51+'Financial Statements'!C51)/'Financial Statements'!B12*365</f>
        <v>97.050428099809452</v>
      </c>
      <c r="D10" s="25">
        <f>0.5*('Financial Statements'!C51+'Financial Statements'!D51)/'Financial Statements'!C12*365</f>
        <v>83.168299050150011</v>
      </c>
      <c r="E10" s="25">
        <f>0.5*('Financial Statements'!D51+'Financial Statements'!E51)/'Financial Statements'!D12*365</f>
        <v>45.524094857837099</v>
      </c>
      <c r="F10" t="s">
        <v>223</v>
      </c>
    </row>
    <row r="11" spans="1:10" x14ac:dyDescent="0.3">
      <c r="A11" s="18">
        <f t="shared" si="0"/>
        <v>1.7000000000000006</v>
      </c>
      <c r="B11" s="1" t="s">
        <v>106</v>
      </c>
      <c r="C11" s="25">
        <f>0.5*('Financial Statements'!B38+'Financial Statements'!C38)/'Financial Statements'!B8*365</f>
        <v>25.205704388225033</v>
      </c>
      <c r="D11" s="25">
        <f>0.5*('Financial Statements'!C38+'Financial Statements'!D38)/'Financial Statements'!C8*365</f>
        <v>21.151655062503931</v>
      </c>
      <c r="E11" s="25">
        <f>0.5*('Financial Statements'!D38+'Financial Statements'!E38)/'Financial Statements'!D8*365</f>
        <v>10.716718576398375</v>
      </c>
      <c r="F11" t="s">
        <v>223</v>
      </c>
    </row>
    <row r="12" spans="1:10" x14ac:dyDescent="0.3">
      <c r="A12" s="18">
        <f t="shared" si="0"/>
        <v>1.8000000000000007</v>
      </c>
      <c r="B12" s="1" t="s">
        <v>107</v>
      </c>
      <c r="C12" s="25">
        <f>C9+C11-C10</f>
        <v>-62.435049640028673</v>
      </c>
      <c r="D12" s="25">
        <f>D9+D11-D10</f>
        <v>-52.898541903422604</v>
      </c>
      <c r="E12" s="25">
        <f>E9+E11-E10</f>
        <v>-30.436434603320784</v>
      </c>
    </row>
    <row r="13" spans="1:10" x14ac:dyDescent="0.3">
      <c r="A13" s="18">
        <f t="shared" si="0"/>
        <v>1.9000000000000008</v>
      </c>
      <c r="B13" s="1" t="s">
        <v>108</v>
      </c>
      <c r="C13" s="25">
        <f>('Financial Statements'!B42-'Financial Statements'!B56)/'Financial Statements'!B8</f>
        <v>-4.711052727678481E-2</v>
      </c>
      <c r="D13" s="25">
        <f>('Financial Statements'!C42-'Financial Statements'!C56)/'Financial Statements'!C8</f>
        <v>2.557289573748623E-2</v>
      </c>
      <c r="E13" s="25">
        <f>('Financial Statements'!D42-'Financial Statements'!D56)/'Financial Statements'!D8</f>
        <v>0.13959528623208203</v>
      </c>
    </row>
    <row r="14" spans="1:10" x14ac:dyDescent="0.3">
      <c r="A14" s="18"/>
      <c r="B14" s="3" t="s">
        <v>109</v>
      </c>
      <c r="C14" s="12">
        <f>('Financial Statements'!B42-'Financial Statements'!B56)*1000000</f>
        <v>-18577000000</v>
      </c>
      <c r="D14" s="12">
        <f>('Financial Statements'!C42-'Financial Statements'!C56)*1000000</f>
        <v>9355000000</v>
      </c>
      <c r="E14" s="12">
        <f>('Financial Statements'!D42-'Financial Statements'!D56)*1000000</f>
        <v>38321000000</v>
      </c>
      <c r="F14" t="s">
        <v>224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5">
        <f>('Financial Statements'!B18+'Financial Statements'!B79)/'Financial Statements'!B8</f>
        <v>0.3310467428130896</v>
      </c>
      <c r="D18" s="25">
        <f>('Financial Statements'!C18+'Financial Statements'!C79)/'Financial Statements'!C8</f>
        <v>0.32866979938056462</v>
      </c>
      <c r="E18" s="25">
        <f>('Financial Statements'!D18+'Financial Statements'!D79)/'Financial Statements'!D8</f>
        <v>0.2817478097736007</v>
      </c>
    </row>
    <row r="19" spans="1:6" x14ac:dyDescent="0.3">
      <c r="A19" s="18"/>
      <c r="B19" s="3" t="s">
        <v>112</v>
      </c>
      <c r="C19" s="23">
        <f>('Financial Statements'!B20+'Financial Statements'!B79)*1000000</f>
        <v>130207000000</v>
      </c>
      <c r="D19" s="23">
        <f>('Financial Statements'!C20+'Financial Statements'!C79)*1000000</f>
        <v>120491000000</v>
      </c>
      <c r="E19" s="23">
        <f>('Financial Statements'!D20+'Financial Statements'!D79)*1000000</f>
        <v>78147000000</v>
      </c>
      <c r="F19" t="s">
        <v>225</v>
      </c>
    </row>
    <row r="20" spans="1:6" x14ac:dyDescent="0.3">
      <c r="A20" s="18">
        <f>+A18+0.1</f>
        <v>2.3000000000000003</v>
      </c>
      <c r="B20" s="1" t="s">
        <v>113</v>
      </c>
      <c r="C20" s="26">
        <f>'Financial Statements'!B18/'Financial Statements'!B8</f>
        <v>0.30288744395528594</v>
      </c>
      <c r="D20" s="26">
        <f>'Financial Statements'!C18/'Financial Statements'!C8</f>
        <v>0.29782377527561593</v>
      </c>
      <c r="E20" s="26">
        <f>'Financial Statements'!D18/'Financial Statements'!D8</f>
        <v>0.24147314354406862</v>
      </c>
    </row>
    <row r="21" spans="1:6" x14ac:dyDescent="0.3">
      <c r="A21" s="18"/>
      <c r="B21" s="3" t="s">
        <v>114</v>
      </c>
      <c r="C21" s="23">
        <f>'Financial Statements'!B20*1000000</f>
        <v>119103000000</v>
      </c>
      <c r="D21" s="23">
        <f>'Financial Statements'!C20*1000000</f>
        <v>109207000000</v>
      </c>
      <c r="E21" s="23">
        <f>'Financial Statements'!D20*1000000</f>
        <v>67091000000</v>
      </c>
      <c r="F21" t="s">
        <v>225</v>
      </c>
    </row>
    <row r="22" spans="1:6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 t="shared" ref="A25:A30" si="1">+A24+0.1</f>
        <v>3.1</v>
      </c>
      <c r="B25" s="1" t="s">
        <v>117</v>
      </c>
      <c r="C25" s="25">
        <f>'Financial Statements'!B62/('Financial Statements'!B48-'Financial Statements'!B62)</f>
        <v>5.9615369434796337</v>
      </c>
      <c r="D25" s="25">
        <f>'Financial Statements'!C62/('Financial Statements'!C48-'Financial Statements'!C62)</f>
        <v>4.5635124425423994</v>
      </c>
      <c r="E25" s="25">
        <f>'Financial Statements'!D62/('Financial Statements'!D48-'Financial Statements'!D62)</f>
        <v>3.9570394404566951</v>
      </c>
      <c r="F25" t="s">
        <v>229</v>
      </c>
    </row>
    <row r="26" spans="1:6" x14ac:dyDescent="0.3">
      <c r="A26" s="18">
        <f t="shared" si="1"/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  <c r="F26" t="s">
        <v>229</v>
      </c>
    </row>
    <row r="27" spans="1:6" x14ac:dyDescent="0.3">
      <c r="A27" s="18">
        <f t="shared" si="1"/>
        <v>3.3000000000000003</v>
      </c>
      <c r="B27" s="1" t="s">
        <v>119</v>
      </c>
      <c r="C27" s="25">
        <f>'Financial Statements'!B61/('Financial Statements'!B61+'Financial Statements'!B48-'Financial Statements'!B62)</f>
        <v>0.74507604151469264</v>
      </c>
      <c r="D27" s="25">
        <f>'Financial Statements'!C61/('Financial Statements'!C61+'Financial Statements'!C48-'Financial Statements'!C62)</f>
        <v>0.72024778180302496</v>
      </c>
      <c r="E27" s="25">
        <f>'Financial Statements'!D61/('Financial Statements'!D61+'Financial Statements'!D48-'Financial Statements'!D62)</f>
        <v>0.70096020064440534</v>
      </c>
      <c r="F27" t="s">
        <v>226</v>
      </c>
    </row>
    <row r="28" spans="1:6" x14ac:dyDescent="0.3">
      <c r="A28" s="18">
        <f t="shared" si="1"/>
        <v>3.4000000000000004</v>
      </c>
      <c r="B28" s="1" t="s">
        <v>120</v>
      </c>
      <c r="C28" s="25">
        <f>('Financial Statements'!B20+'Financial Statements'!B79)/'Financial Statements'!B114</f>
        <v>45.447469458987783</v>
      </c>
      <c r="D28" s="25">
        <f>('Financial Statements'!C20+'Financial Statements'!C79)/'Financial Statements'!C114</f>
        <v>44.842203200595456</v>
      </c>
      <c r="E28" s="25">
        <f>('Financial Statements'!D20+'Financial Statements'!D79)/'Financial Statements'!D114</f>
        <v>26.031645569620252</v>
      </c>
      <c r="F28" t="s">
        <v>227</v>
      </c>
    </row>
    <row r="29" spans="1:6" x14ac:dyDescent="0.3">
      <c r="A29" s="18">
        <f t="shared" si="1"/>
        <v>3.5000000000000004</v>
      </c>
      <c r="B29" s="1" t="s">
        <v>121</v>
      </c>
      <c r="C29" s="25">
        <f>('Financial Statements'!B22+'Financial Statements'!B79+'Financial Statements'!B113+'Financial Statements'!B114)/(-'Financial Statements'!B105+'Financial Statements'!B114)</f>
        <v>10.746695680206319</v>
      </c>
      <c r="D29" s="25">
        <f>('Financial Statements'!C22+'Financial Statements'!C79+'Financial Statements'!C113+'Financial Statements'!C114)/(-'Financial Statements'!C105+'Financial Statements'!C114)</f>
        <v>11.71950686368803</v>
      </c>
      <c r="E29" s="25">
        <f>('Financial Statements'!D22+'Financial Statements'!D79+'Financial Statements'!D113+'Financial Statements'!D114)/(-'Financial Statements'!D105+'Financial Statements'!D114)</f>
        <v>5.1800908451154752</v>
      </c>
      <c r="F29" t="s">
        <v>228</v>
      </c>
    </row>
    <row r="30" spans="1:6" x14ac:dyDescent="0.3">
      <c r="A30" s="18">
        <f t="shared" si="1"/>
        <v>3.6000000000000005</v>
      </c>
      <c r="B30" s="1" t="s">
        <v>122</v>
      </c>
      <c r="F30" t="s">
        <v>230</v>
      </c>
    </row>
    <row r="31" spans="1:6" x14ac:dyDescent="0.3">
      <c r="A31" s="18"/>
      <c r="B31" s="3" t="s">
        <v>123</v>
      </c>
      <c r="F31" t="s">
        <v>242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5">
        <f>'Financial Statements'!B8/('Financial Statements'!B48+'Financial Statements'!C48)/2</f>
        <v>0.28015920267933392</v>
      </c>
      <c r="D34" s="25">
        <f>'Financial Statements'!C8/('Financial Statements'!C48+'Financial Statements'!D48)/2</f>
        <v>0.2710197217324305</v>
      </c>
      <c r="E34" s="25">
        <f>'Financial Statements'!D8/('Financial Statements'!D48+'Financial Statements'!E48)/2</f>
        <v>0.42378075137084426</v>
      </c>
      <c r="F34" t="s">
        <v>231</v>
      </c>
    </row>
    <row r="35" spans="1:6" x14ac:dyDescent="0.3">
      <c r="A35" s="18">
        <f>+A34+0.1</f>
        <v>4.1999999999999993</v>
      </c>
      <c r="B35" s="1" t="s">
        <v>126</v>
      </c>
      <c r="C35" s="25">
        <f>'Financial Statements'!B8/('Financial Statements'!B45+'Financial Statements'!C45)/2</f>
        <v>2.4174994175852471</v>
      </c>
      <c r="D35" s="25">
        <f>'Financial Statements'!C8/('Financial Statements'!C45+'Financial Statements'!D45)/2</f>
        <v>2.4001850248011967</v>
      </c>
      <c r="E35" s="25">
        <f>'Financial Statements'!D8/('Financial Statements'!D45+'Financial Statements'!E45)/2</f>
        <v>3.7332725888048741</v>
      </c>
      <c r="F35" t="s">
        <v>231</v>
      </c>
    </row>
    <row r="36" spans="1:6" x14ac:dyDescent="0.3">
      <c r="A36" s="18">
        <f>+A35+0.1</f>
        <v>4.2999999999999989</v>
      </c>
      <c r="B36" s="1" t="s">
        <v>127</v>
      </c>
      <c r="C36" s="25">
        <f>'Financial Statements'!B12/('Financial Statements'!B39+'Financial Statements'!C39)/2</f>
        <v>9.6974665972583729</v>
      </c>
      <c r="D36" s="25">
        <f>'Financial Statements'!C12/('Financial Statements'!C39+'Financial Statements'!D39)/2</f>
        <v>10.007565078470069</v>
      </c>
      <c r="E36" s="25">
        <f>'Financial Statements'!D12/('Financial Statements'!D39+'Financial Statements'!E39)/2</f>
        <v>20.876508249199706</v>
      </c>
      <c r="F36" t="s">
        <v>231</v>
      </c>
    </row>
    <row r="37" spans="1:6" x14ac:dyDescent="0.3">
      <c r="A37" s="18">
        <f>+A36+0.1</f>
        <v>4.3999999999999986</v>
      </c>
      <c r="B37" s="1" t="s">
        <v>128</v>
      </c>
      <c r="C37" s="25">
        <f>'Financial Statements'!B20/(('Financial Statements'!B48+'Financial Statements'!C48)/2)</f>
        <v>0.33847762793123193</v>
      </c>
      <c r="D37" s="25">
        <f>'Financial Statements'!C20/(('Financial Statements'!C48+'Financial Statements'!D48)/2)</f>
        <v>0.32362903584287811</v>
      </c>
      <c r="E37" s="25">
        <f>'Financial Statements'!D20/(('Financial Statements'!D48+'Financial Statements'!E48)/2)</f>
        <v>0.414285185002223</v>
      </c>
      <c r="F37" t="s">
        <v>232</v>
      </c>
    </row>
    <row r="38" spans="1:6" x14ac:dyDescent="0.3">
      <c r="A38" s="18"/>
      <c r="C38" s="25"/>
      <c r="D38" s="25"/>
      <c r="E38" s="25"/>
    </row>
    <row r="39" spans="1:6" x14ac:dyDescent="0.3">
      <c r="A39" s="18">
        <f>+A33+1</f>
        <v>5</v>
      </c>
      <c r="B39" s="17" t="s">
        <v>129</v>
      </c>
      <c r="C39" s="25"/>
      <c r="D39" s="25"/>
      <c r="E39" s="25"/>
    </row>
    <row r="40" spans="1:6" x14ac:dyDescent="0.3">
      <c r="A40" s="18">
        <f>+A39+0.1</f>
        <v>5.0999999999999996</v>
      </c>
      <c r="B40" s="1" t="s">
        <v>130</v>
      </c>
      <c r="C40" s="25">
        <f>191.17/C41</f>
        <v>31.271673378856345</v>
      </c>
      <c r="D40" s="25">
        <f t="shared" ref="D40:E40" si="2">191.17/D41</f>
        <v>34.052245091149132</v>
      </c>
      <c r="E40" s="25">
        <f t="shared" si="2"/>
        <v>58.366317785441808</v>
      </c>
    </row>
    <row r="41" spans="1:6" x14ac:dyDescent="0.3">
      <c r="A41" s="18">
        <f>+A40+0.1</f>
        <v>5.1999999999999993</v>
      </c>
      <c r="B41" s="3" t="s">
        <v>131</v>
      </c>
      <c r="C41" s="25">
        <f>'Financial Statements'!B22*1000/'Financial Statements'!B28</f>
        <v>6.1132002014722815</v>
      </c>
      <c r="D41" s="25">
        <f>'Financial Statements'!C22*1000/'Financial Statements'!C28</f>
        <v>5.6140204408927197</v>
      </c>
      <c r="E41" s="25">
        <f>'Financial Statements'!D22*1000/'Financial Statements'!D28</f>
        <v>3.2753479618630856</v>
      </c>
    </row>
    <row r="42" spans="1:6" x14ac:dyDescent="0.3">
      <c r="A42" s="18">
        <f>+A41+0.1</f>
        <v>5.2999999999999989</v>
      </c>
      <c r="B42" s="1" t="s">
        <v>132</v>
      </c>
      <c r="C42" s="25"/>
      <c r="D42" s="25"/>
      <c r="E42" s="25"/>
      <c r="F42" t="s">
        <v>234</v>
      </c>
    </row>
    <row r="43" spans="1:6" x14ac:dyDescent="0.3">
      <c r="A43" s="18">
        <f>+A42+0.1</f>
        <v>5.3999999999999986</v>
      </c>
      <c r="B43" s="3" t="s">
        <v>133</v>
      </c>
      <c r="C43" s="25"/>
      <c r="D43" s="25"/>
      <c r="E43" s="25"/>
      <c r="F43" t="s">
        <v>233</v>
      </c>
    </row>
    <row r="44" spans="1:6" x14ac:dyDescent="0.3">
      <c r="A44" s="18">
        <f>+A43+0.1</f>
        <v>5.4999999999999982</v>
      </c>
      <c r="B44" s="1" t="s">
        <v>134</v>
      </c>
      <c r="C44" s="25">
        <f>-('Financial Statements'!B102*1000)/(0.5*('Financial Statements'!B28+'Financial Statements'!C28))/(('Financial Statements'!B22*1000000)/('Financial Statements'!B28*1000))</f>
        <v>0.1462876397380701</v>
      </c>
      <c r="D44" s="25">
        <f>-('Financial Statements'!C102*1000)/(0.5*('Financial Statements'!C28+'Financial Statements'!D28))/(('Financial Statements'!C22*1000000)/('Financial Statements'!C28*1000))</f>
        <v>0.14985207065327075</v>
      </c>
      <c r="E44" s="25">
        <f>-('Financial Statements'!D102*1000)/(0.5*('Financial Statements'!D28+'Financial Statements'!E28))/(('Financial Statements'!D22*1000000)/('Financial Statements'!D28*1000))</f>
        <v>0.49053317308529726</v>
      </c>
      <c r="F44" t="s">
        <v>235</v>
      </c>
    </row>
    <row r="45" spans="1:6" x14ac:dyDescent="0.3">
      <c r="A45" s="18"/>
      <c r="B45" s="3" t="s">
        <v>135</v>
      </c>
      <c r="C45" s="25">
        <f>-('Financial Statements'!B102*1000)/(0.5*('Financial Statements'!B28+'Financial Statements'!C28))</f>
        <v>0.89428562871967476</v>
      </c>
      <c r="D45" s="25">
        <f>-('Financial Statements'!C102*1000)/(0.5*('Financial Statements'!C28+'Financial Statements'!D28))</f>
        <v>0.84127258775756197</v>
      </c>
      <c r="E45" s="25">
        <f>-('Financial Statements'!D102*1000)/(0.5*('Financial Statements'!D28+'Financial Statements'!E28))</f>
        <v>1.6066668286911605</v>
      </c>
      <c r="F45" t="s">
        <v>243</v>
      </c>
    </row>
    <row r="46" spans="1:6" x14ac:dyDescent="0.3">
      <c r="A46" s="18">
        <f>+A44+0.1</f>
        <v>5.5999999999999979</v>
      </c>
      <c r="B46" s="1" t="s">
        <v>136</v>
      </c>
      <c r="C46" s="25">
        <f>-('Financial Statements'!B102*1000)/(0.5*('Financial Statements'!B28+'Financial Statements'!C28))/191.17</f>
        <v>4.6779600811825851E-3</v>
      </c>
      <c r="D46" s="25">
        <f>-('Financial Statements'!C102*1000)/(0.5*('Financial Statements'!C28+'Financial Statements'!D28))/191.17</f>
        <v>4.4006517118667264E-3</v>
      </c>
      <c r="E46" s="25">
        <f>-('Financial Statements'!D102*1000)/(0.5*('Financial Statements'!D28+'Financial Statements'!E28))/191.17</f>
        <v>8.4043878678200581E-3</v>
      </c>
      <c r="F46" t="s">
        <v>236</v>
      </c>
    </row>
    <row r="47" spans="1:6" x14ac:dyDescent="0.3">
      <c r="A47" s="18">
        <f>+A45+0.1</f>
        <v>0.1</v>
      </c>
      <c r="B47" s="1" t="s">
        <v>137</v>
      </c>
      <c r="C47" s="25">
        <f>'Financial Statements'!B22/(0.5*('Financial Statements'!B68+'Financial Statements'!C68))</f>
        <v>1.7545929220653644</v>
      </c>
      <c r="D47" s="25">
        <f>'Financial Statements'!C22/(0.5*('Financial Statements'!C68+'Financial Statements'!D68))</f>
        <v>1.4744333444938449</v>
      </c>
      <c r="E47" s="25">
        <f>'Financial Statements'!D22/(0.5*('Financial Statements'!D68+'Financial Statements'!E68))</f>
        <v>1.7573271706025497</v>
      </c>
      <c r="F47" t="s">
        <v>237</v>
      </c>
    </row>
    <row r="48" spans="1:6" x14ac:dyDescent="0.3">
      <c r="A48" s="18">
        <f>+A46+0.1</f>
        <v>5.6999999999999975</v>
      </c>
      <c r="B48" s="1" t="s">
        <v>138</v>
      </c>
      <c r="C48" s="25">
        <f>'Financial Statements'!B20/('Financial Statements'!B48-'Financial Statements'!B56)</f>
        <v>0.59919103701206899</v>
      </c>
      <c r="D48" s="25">
        <f>'Financial Statements'!C20/('Financial Statements'!C48-'Financial Statements'!C56)</f>
        <v>0.48424315252238148</v>
      </c>
      <c r="E48" s="25">
        <f>'Financial Statements'!D20/('Financial Statements'!D48-'Financial Statements'!D56)</f>
        <v>0.30705825278265964</v>
      </c>
      <c r="F48" t="s">
        <v>238</v>
      </c>
    </row>
    <row r="49" spans="1:6" x14ac:dyDescent="0.3">
      <c r="A49" s="18">
        <f>+A47+0.1</f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6" x14ac:dyDescent="0.3">
      <c r="A50" s="18">
        <f>+A48+0.1</f>
        <v>5.7999999999999972</v>
      </c>
      <c r="B50" s="1" t="s">
        <v>139</v>
      </c>
      <c r="C50" s="25">
        <f>C51/(('Financial Statements'!B20+'Financial Statements'!B79)*1000000)</f>
        <v>23.969578553019424</v>
      </c>
      <c r="D50" s="25">
        <f>D51/(('Financial Statements'!C20+'Financial Statements'!C79)*1000000)</f>
        <v>26.757738329078521</v>
      </c>
      <c r="E50" s="25">
        <f>E51/(('Financial Statements'!D20+'Financial Statements'!D79)*1000000)</f>
        <v>42.87904513038248</v>
      </c>
    </row>
    <row r="51" spans="1:6" x14ac:dyDescent="0.3">
      <c r="A51" s="18"/>
      <c r="B51" s="3" t="s">
        <v>140</v>
      </c>
      <c r="C51">
        <f>(191.17*'Financial Statements'!B28*1000)+'Financial Statements'!B59+'Financial Statements'!B54+'Financial Statements'!B55-'Financial Statements'!B36</f>
        <v>3121006914653</v>
      </c>
      <c r="D51">
        <f>(191.17*'Financial Statements'!C28*1000)+'Financial Statements'!C59+'Financial Statements'!C55-'Financial Statements'!C36</f>
        <v>3224066649009</v>
      </c>
      <c r="E51">
        <f>(191.17*'Financial Statements'!D28*1000)+'Financial Statements'!D59+'Financial Statements'!D55-'Financial Statements'!D36</f>
        <v>3350868739803.9995</v>
      </c>
      <c r="F51" t="s">
        <v>239</v>
      </c>
    </row>
    <row r="53" spans="1:6" x14ac:dyDescent="0.3">
      <c r="A53" s="18"/>
      <c r="B53" s="7" t="s">
        <v>194</v>
      </c>
    </row>
    <row r="54" spans="1:6" x14ac:dyDescent="0.3">
      <c r="B54" t="s">
        <v>192</v>
      </c>
      <c r="C54" s="27">
        <f>('Financial Statements'!B6-'Financial Statements'!C6)/'Financial Statements'!C6</f>
        <v>6.3239764351428418E-2</v>
      </c>
      <c r="D54" s="27">
        <f>('Financial Statements'!C6-'Financial Statements'!D6)/'Financial Statements'!D6</f>
        <v>0.34720743656765435</v>
      </c>
      <c r="E54" s="27"/>
    </row>
    <row r="55" spans="1:6" x14ac:dyDescent="0.3">
      <c r="B55" s="24" t="s">
        <v>193</v>
      </c>
      <c r="C55" s="27">
        <f>('Financial Statements'!B7-'Financial Statements'!C7)/'Financial Statements'!C7</f>
        <v>0.14181951041286078</v>
      </c>
      <c r="D55" s="27">
        <f>('Financial Statements'!C7-'Financial Statements'!D7)/'Financial Statements'!D7</f>
        <v>0.27259708376729652</v>
      </c>
      <c r="E55" s="27"/>
    </row>
    <row r="56" spans="1:6" x14ac:dyDescent="0.3">
      <c r="B56" t="s">
        <v>195</v>
      </c>
      <c r="C56" s="27">
        <f>('Financial Statements'!B8-'Financial Statements'!C8)/'Financial Statements'!C8</f>
        <v>7.7937876041846058E-2</v>
      </c>
      <c r="D56" s="27">
        <f>('Financial Statements'!C8-'Financial Statements'!D8)/'Financial Statements'!D8</f>
        <v>0.33259384733074693</v>
      </c>
      <c r="E56" s="27"/>
    </row>
    <row r="57" spans="1:6" x14ac:dyDescent="0.3">
      <c r="B57" t="s">
        <v>196</v>
      </c>
      <c r="C57" s="27">
        <f>('Financial Statements'!B13-'Financial Statements'!C13)/'Financial Statements'!C13</f>
        <v>0.11741997958596143</v>
      </c>
      <c r="D57" s="27">
        <f>('Financial Statements'!C13-'Financial Statements'!D13)/'Financial Statements'!D13</f>
        <v>0.45619116582186819</v>
      </c>
      <c r="E57" s="27"/>
    </row>
    <row r="58" spans="1:6" x14ac:dyDescent="0.3">
      <c r="B58" t="s">
        <v>208</v>
      </c>
      <c r="C58" s="27">
        <f>('Financial Statements'!B15-'Financial Statements'!C15)/'Financial Statements'!C15</f>
        <v>0.19791001186456147</v>
      </c>
      <c r="D58" s="27">
        <f>('Financial Statements'!C15-'Financial Statements'!D15)/'Financial Statements'!D15</f>
        <v>0.16862201365187712</v>
      </c>
      <c r="E58" s="27"/>
    </row>
    <row r="59" spans="1:6" x14ac:dyDescent="0.3">
      <c r="B59" t="s">
        <v>207</v>
      </c>
      <c r="C59" s="27">
        <f>('Financial Statements'!B16-'Financial Statements'!C16)/'Financial Statements'!C16</f>
        <v>0.14203795567287125</v>
      </c>
      <c r="D59" s="27">
        <f>('Financial Statements'!C16-'Financial Statements'!D16)/'Financial Statements'!D16</f>
        <v>0.10328379192608958</v>
      </c>
      <c r="E59" s="27"/>
    </row>
    <row r="60" spans="1:6" x14ac:dyDescent="0.3">
      <c r="B60" t="s">
        <v>197</v>
      </c>
      <c r="C60" s="27">
        <f>('Financial Statements'!B18-'Financial Statements'!C18)/'Financial Statements'!C18</f>
        <v>9.6265225013538444E-2</v>
      </c>
      <c r="D60" s="27">
        <f>('Financial Statements'!C18-'Financial Statements'!D18)/'Financial Statements'!D18</f>
        <v>0.64357048032826458</v>
      </c>
      <c r="E60" s="27"/>
    </row>
    <row r="61" spans="1:6" x14ac:dyDescent="0.3">
      <c r="B61" s="24" t="s">
        <v>198</v>
      </c>
      <c r="C61" s="27">
        <f>('Financial Statements'!B22-'Financial Statements'!C22)/'Financial Statements'!C22</f>
        <v>5.4108576256865229E-2</v>
      </c>
      <c r="D61" s="27">
        <f>('Financial Statements'!C22-'Financial Statements'!D22)/'Financial Statements'!D22</f>
        <v>0.64916131055024295</v>
      </c>
      <c r="E61" s="27"/>
    </row>
    <row r="62" spans="1:6" x14ac:dyDescent="0.3">
      <c r="B62" s="24" t="s">
        <v>214</v>
      </c>
      <c r="C62" s="27">
        <f>('Financial Statements'!B42-'Financial Statements'!C42)/'Financial Statements'!C42</f>
        <v>4.2199412619775131E-3</v>
      </c>
      <c r="D62" s="27">
        <f>('Financial Statements'!C42-'Financial Statements'!D42)/'Financial Statements'!D42</f>
        <v>-6.176894226687913E-2</v>
      </c>
      <c r="E62" s="27"/>
    </row>
    <row r="63" spans="1:6" x14ac:dyDescent="0.3">
      <c r="B63" s="24" t="s">
        <v>215</v>
      </c>
      <c r="C63" s="27">
        <f>('Financial Statements'!B47-'Financial Statements'!C47)/'Financial Statements'!C47</f>
        <v>5.4772720964443994E-3</v>
      </c>
      <c r="D63" s="27">
        <f>('Financial Statements'!C47-'Financial Statements'!D47)/'Financial Statements'!D47</f>
        <v>0.19975579297904814</v>
      </c>
      <c r="E63" s="27"/>
    </row>
    <row r="64" spans="1:6" x14ac:dyDescent="0.3">
      <c r="B64" s="24" t="s">
        <v>216</v>
      </c>
      <c r="C64" s="27">
        <f>('Financial Statements'!B48-'Financial Statements'!C48)/'Financial Statements'!C48</f>
        <v>4.9942735369029236E-3</v>
      </c>
      <c r="D64" s="27">
        <f>('Financial Statements'!C48-'Financial Statements'!D48)/'Financial Statements'!D48</f>
        <v>8.3714123400681711E-2</v>
      </c>
      <c r="E64" s="27"/>
    </row>
    <row r="65" spans="2:7" x14ac:dyDescent="0.3">
      <c r="B65" s="24" t="s">
        <v>217</v>
      </c>
      <c r="C65" s="27">
        <f>('Financial Statements'!B56-'Financial Statements'!C56)/'Financial Statements'!C56</f>
        <v>0.22713398841258836</v>
      </c>
      <c r="D65" s="27">
        <f>('Financial Statements'!C56-'Financial Statements'!D56)/'Financial Statements'!D56</f>
        <v>0.19061219067860938</v>
      </c>
      <c r="E65" s="27"/>
    </row>
    <row r="66" spans="2:7" x14ac:dyDescent="0.3">
      <c r="B66" s="24" t="s">
        <v>218</v>
      </c>
      <c r="C66" s="27">
        <f>('Financial Statements'!B61-'Financial Statements'!C61)/'Financial Statements'!C61</f>
        <v>-8.8222075835277747E-2</v>
      </c>
      <c r="D66" s="27">
        <f>('Financial Statements'!C61-'Financial Statements'!D61)/'Financial Statements'!D61</f>
        <v>6.0552243775994566E-2</v>
      </c>
      <c r="E66" s="27"/>
    </row>
    <row r="67" spans="2:7" x14ac:dyDescent="0.3">
      <c r="B67" t="s">
        <v>219</v>
      </c>
      <c r="C67" s="27">
        <f>('Financial Statements'!B62-'Financial Statements'!C62)/'Financial Statements'!C62</f>
        <v>4.9219900525160468E-2</v>
      </c>
      <c r="D67" s="27">
        <f>('Financial Statements'!C62-'Financial Statements'!D62)/'Financial Statements'!D62</f>
        <v>0.11356841449783213</v>
      </c>
      <c r="E67" s="27"/>
      <c r="G67" s="1"/>
    </row>
    <row r="68" spans="2:7" x14ac:dyDescent="0.3">
      <c r="B68" t="s">
        <v>220</v>
      </c>
      <c r="C68" s="27">
        <f>('Financial Statements'!B68-'Financial Statements'!C68)/'Financial Statements'!C68</f>
        <v>-0.19682992550324932</v>
      </c>
      <c r="D68" s="27">
        <f>('Financial Statements'!C68-'Financial Statements'!D68)/'Financial Statements'!D68</f>
        <v>-3.4420483937617659E-2</v>
      </c>
      <c r="E68" s="27"/>
      <c r="G68" s="1"/>
    </row>
    <row r="69" spans="2:7" x14ac:dyDescent="0.3">
      <c r="B69" t="s">
        <v>221</v>
      </c>
      <c r="C69" s="27">
        <f>('Financial Statements'!B69-'Financial Statements'!C69)/'Financial Statements'!C69</f>
        <v>4.9942735369029236E-3</v>
      </c>
      <c r="D69" s="27">
        <f>('Financial Statements'!C69-'Financial Statements'!D69)/'Financial Statements'!D69</f>
        <v>8.3714123400681711E-2</v>
      </c>
      <c r="E69" s="27"/>
      <c r="G69" s="1"/>
    </row>
    <row r="70" spans="2:7" x14ac:dyDescent="0.3">
      <c r="B70" s="1"/>
      <c r="C70" s="27"/>
      <c r="D70" s="27"/>
      <c r="E70" s="27"/>
      <c r="G70" s="1"/>
    </row>
    <row r="71" spans="2:7" x14ac:dyDescent="0.3">
      <c r="B71" s="7" t="s">
        <v>210</v>
      </c>
      <c r="C71" s="27"/>
      <c r="D71" s="27"/>
      <c r="E71" s="27"/>
      <c r="G71" s="1"/>
    </row>
    <row r="72" spans="2:7" x14ac:dyDescent="0.3">
      <c r="B72" t="s">
        <v>205</v>
      </c>
      <c r="C72" s="27">
        <f>'Financial Statements'!B12/'Financial Statements'!B8</f>
        <v>0.56690369438639909</v>
      </c>
      <c r="D72" s="27">
        <f>'Financial Statements'!C12/'Financial Statements'!C8</f>
        <v>0.58220640374832222</v>
      </c>
      <c r="E72" s="27">
        <f>'Financial Statements'!D12/'Financial Statements'!D8</f>
        <v>0.61766752272189129</v>
      </c>
      <c r="G72" s="1"/>
    </row>
    <row r="73" spans="2:7" x14ac:dyDescent="0.3">
      <c r="B73" t="s">
        <v>211</v>
      </c>
      <c r="C73" s="27">
        <f>('Financial Statements'!B8-'Financial Statements'!B12)/'Financial Statements'!B8</f>
        <v>0.43309630561360085</v>
      </c>
      <c r="D73" s="27">
        <f>('Financial Statements'!C8-'Financial Statements'!C12)/'Financial Statements'!C8</f>
        <v>0.41779359625167778</v>
      </c>
      <c r="E73" s="27">
        <f>('Financial Statements'!D8-'Financial Statements'!D12)/'Financial Statements'!D8</f>
        <v>0.38233247727810865</v>
      </c>
    </row>
    <row r="74" spans="2:7" x14ac:dyDescent="0.3">
      <c r="B74" t="s">
        <v>206</v>
      </c>
      <c r="C74" s="27">
        <f>'Financial Statements'!B15/'Financial Statements'!B8</f>
        <v>6.657148363798665E-2</v>
      </c>
      <c r="D74" s="27">
        <f>'Financial Statements'!C15/'Financial Statements'!C8</f>
        <v>5.9904269074427925E-2</v>
      </c>
      <c r="E74" s="27">
        <f>'Financial Statements'!D15/'Financial Statements'!D8</f>
        <v>6.8309564140393061E-2</v>
      </c>
    </row>
    <row r="75" spans="2:7" x14ac:dyDescent="0.3">
      <c r="B75" t="s">
        <v>209</v>
      </c>
      <c r="C75" s="27">
        <f>'Financial Statements'!B16/'Financial Statements'!B8</f>
        <v>6.3637378020328261E-2</v>
      </c>
      <c r="D75" s="27">
        <f>'Financial Statements'!C16/'Financial Statements'!C8</f>
        <v>6.006555190163388E-2</v>
      </c>
      <c r="E75" s="27">
        <f>'Financial Statements'!D16/'Financial Statements'!D8</f>
        <v>7.2549769593646979E-2</v>
      </c>
    </row>
    <row r="76" spans="2:7" x14ac:dyDescent="0.3">
      <c r="B76" t="s">
        <v>212</v>
      </c>
      <c r="C76" s="27">
        <f>'Financial Statements'!B20/'Financial Statements'!B8</f>
        <v>0.30204043334482966</v>
      </c>
      <c r="D76" s="27">
        <f>'Financial Statements'!C20/'Financial Statements'!C8</f>
        <v>0.29852904594373691</v>
      </c>
      <c r="E76" s="27">
        <f>'Financial Statements'!D20/'Financial Statements'!D8</f>
        <v>0.24439830246070343</v>
      </c>
    </row>
    <row r="77" spans="2:7" x14ac:dyDescent="0.3">
      <c r="B77" t="s">
        <v>213</v>
      </c>
      <c r="C77" s="27">
        <f>'Financial Statements'!B22/'Financial Statements'!B8</f>
        <v>0.25309640705199732</v>
      </c>
      <c r="D77" s="27">
        <f>'Financial Statements'!C22/'Financial Statements'!C8</f>
        <v>0.25881793355694238</v>
      </c>
      <c r="E77" s="27">
        <f>'Financial Statements'!D22/'Financial Statements'!D8</f>
        <v>0.20913611278072236</v>
      </c>
    </row>
    <row r="78" spans="2:7" x14ac:dyDescent="0.3">
      <c r="B78" s="1"/>
      <c r="C78" s="27"/>
      <c r="D78" s="27"/>
      <c r="E78" s="27"/>
    </row>
    <row r="79" spans="2:7" x14ac:dyDescent="0.3">
      <c r="C79" s="27"/>
      <c r="D79" s="27"/>
      <c r="E79" s="27"/>
    </row>
    <row r="80" spans="2:7" x14ac:dyDescent="0.3">
      <c r="C80" s="27"/>
      <c r="D80" s="27"/>
      <c r="E80" s="27"/>
    </row>
    <row r="81" spans="1:6" x14ac:dyDescent="0.3">
      <c r="C81" s="27"/>
      <c r="D81" s="27"/>
      <c r="E81" s="27"/>
    </row>
    <row r="82" spans="1:6" x14ac:dyDescent="0.3">
      <c r="C82" s="27"/>
      <c r="D82" s="27"/>
      <c r="E82" s="27"/>
    </row>
    <row r="83" spans="1:6" x14ac:dyDescent="0.3">
      <c r="C83" s="27"/>
      <c r="D83" s="27"/>
      <c r="E83" s="27"/>
    </row>
    <row r="84" spans="1:6" x14ac:dyDescent="0.3">
      <c r="B84" s="1" t="s">
        <v>204</v>
      </c>
      <c r="C84" s="27"/>
      <c r="D84" s="27"/>
      <c r="E84" s="27"/>
      <c r="F84" t="s">
        <v>240</v>
      </c>
    </row>
    <row r="85" spans="1:6" x14ac:dyDescent="0.3">
      <c r="B85" s="1"/>
      <c r="C85" s="27"/>
      <c r="D85" s="27"/>
      <c r="E85" s="27"/>
    </row>
    <row r="86" spans="1:6" x14ac:dyDescent="0.3">
      <c r="B86" s="7" t="s">
        <v>199</v>
      </c>
      <c r="C86" s="27"/>
      <c r="D86" s="27"/>
      <c r="E86" s="27"/>
    </row>
    <row r="87" spans="1:6" x14ac:dyDescent="0.3">
      <c r="A87" s="18"/>
      <c r="B87" s="1" t="s">
        <v>200</v>
      </c>
      <c r="C87" s="27">
        <f>(('Financial Statements'!B45-'Financial Statements'!C45)+'Financial Statements'!B79)/'Financial Statements'!B8</f>
        <v>3.4948063541011543E-2</v>
      </c>
      <c r="D87" s="27">
        <f>(('Financial Statements'!C45-'Financial Statements'!D45)+'Financial Statements'!C79)/'Financial Statements'!C8</f>
        <v>3.8155689866791319E-2</v>
      </c>
      <c r="E87" s="27">
        <f>(('Financial Statements'!D45-'Financial Statements'!E45)+'Financial Statements'!D79)/'Financial Statements'!D8</f>
        <v>0.17420541682603866</v>
      </c>
      <c r="F87" t="s">
        <v>241</v>
      </c>
    </row>
    <row r="88" spans="1:6" x14ac:dyDescent="0.3">
      <c r="B88" s="1" t="s">
        <v>201</v>
      </c>
      <c r="C88" s="27">
        <f>(('Financial Statements'!B45-'Financial Statements'!C45)+'Financial Statements'!B79)/'Financial Statements'!B45</f>
        <v>0.32720754089797471</v>
      </c>
      <c r="D88" s="27">
        <f>(('Financial Statements'!C45-'Financial Statements'!D45)+'Financial Statements'!C79)/'Financial Statements'!C45</f>
        <v>0.35390466531440162</v>
      </c>
      <c r="E88" s="27">
        <f>(('Financial Statements'!D45-'Financial Statements'!E45)+'Financial Statements'!D79)/'Financial Statements'!D45</f>
        <v>1.3007126149159549</v>
      </c>
      <c r="F88" t="s">
        <v>241</v>
      </c>
    </row>
    <row r="89" spans="1:6" x14ac:dyDescent="0.3">
      <c r="C89" s="27"/>
      <c r="D89" s="27"/>
      <c r="E89" s="27"/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5"/>
  <sheetViews>
    <sheetView topLeftCell="A31" workbookViewId="0">
      <selection activeCell="C53" sqref="C53"/>
    </sheetView>
  </sheetViews>
  <sheetFormatPr defaultRowHeight="14.4" x14ac:dyDescent="0.3"/>
  <cols>
    <col min="1" max="1" width="15" bestFit="1" customWidth="1"/>
    <col min="2" max="2" width="35.109375" bestFit="1" customWidth="1"/>
    <col min="3" max="3" width="55.44140625" bestFit="1" customWidth="1"/>
    <col min="4" max="4" width="49.88671875" bestFit="1" customWidth="1"/>
  </cols>
  <sheetData>
    <row r="1" spans="1:4" x14ac:dyDescent="0.3">
      <c r="C1" s="7" t="s">
        <v>152</v>
      </c>
    </row>
    <row r="2" spans="1:4" x14ac:dyDescent="0.3">
      <c r="A2" s="18">
        <v>1</v>
      </c>
      <c r="B2" s="7" t="s">
        <v>99</v>
      </c>
      <c r="C2" s="7"/>
    </row>
    <row r="3" spans="1:4" x14ac:dyDescent="0.3">
      <c r="A3">
        <v>1.1000000000000001</v>
      </c>
      <c r="B3" t="s">
        <v>150</v>
      </c>
      <c r="C3" t="s">
        <v>151</v>
      </c>
    </row>
    <row r="4" spans="1:4" x14ac:dyDescent="0.3">
      <c r="A4" s="18">
        <f t="shared" ref="A4:A11" si="0">+A3+0.1</f>
        <v>1.2000000000000002</v>
      </c>
      <c r="B4" s="1" t="s">
        <v>101</v>
      </c>
      <c r="C4" t="s">
        <v>153</v>
      </c>
    </row>
    <row r="5" spans="1:4" x14ac:dyDescent="0.3">
      <c r="A5" s="18">
        <f t="shared" si="0"/>
        <v>1.3000000000000003</v>
      </c>
      <c r="B5" s="1" t="s">
        <v>102</v>
      </c>
      <c r="C5" t="s">
        <v>154</v>
      </c>
    </row>
    <row r="6" spans="1:4" x14ac:dyDescent="0.3">
      <c r="A6" s="18">
        <f t="shared" si="0"/>
        <v>1.4000000000000004</v>
      </c>
      <c r="B6" s="1" t="s">
        <v>103</v>
      </c>
      <c r="C6" t="s">
        <v>245</v>
      </c>
      <c r="D6" t="s">
        <v>246</v>
      </c>
    </row>
    <row r="7" spans="1:4" x14ac:dyDescent="0.3">
      <c r="A7" s="18">
        <f t="shared" si="0"/>
        <v>1.5000000000000004</v>
      </c>
      <c r="B7" s="1" t="s">
        <v>104</v>
      </c>
      <c r="C7" t="s">
        <v>155</v>
      </c>
    </row>
    <row r="8" spans="1:4" x14ac:dyDescent="0.3">
      <c r="A8" s="18">
        <f t="shared" si="0"/>
        <v>1.6000000000000005</v>
      </c>
      <c r="B8" s="1" t="s">
        <v>105</v>
      </c>
      <c r="C8" t="s">
        <v>188</v>
      </c>
    </row>
    <row r="9" spans="1:4" x14ac:dyDescent="0.3">
      <c r="A9" s="18">
        <f t="shared" si="0"/>
        <v>1.7000000000000006</v>
      </c>
      <c r="B9" s="1" t="s">
        <v>106</v>
      </c>
      <c r="C9" t="s">
        <v>156</v>
      </c>
    </row>
    <row r="10" spans="1:4" x14ac:dyDescent="0.3">
      <c r="A10" s="18">
        <f t="shared" si="0"/>
        <v>1.8000000000000007</v>
      </c>
      <c r="B10" s="1" t="s">
        <v>107</v>
      </c>
      <c r="C10" t="s">
        <v>157</v>
      </c>
    </row>
    <row r="11" spans="1:4" x14ac:dyDescent="0.3">
      <c r="A11" s="18">
        <f t="shared" si="0"/>
        <v>1.9000000000000008</v>
      </c>
      <c r="B11" s="1" t="s">
        <v>108</v>
      </c>
      <c r="C11" t="s">
        <v>189</v>
      </c>
    </row>
    <row r="12" spans="1:4" x14ac:dyDescent="0.3">
      <c r="A12" s="18"/>
      <c r="B12" s="3" t="s">
        <v>109</v>
      </c>
      <c r="C12" t="s">
        <v>190</v>
      </c>
    </row>
    <row r="15" spans="1:4" x14ac:dyDescent="0.3">
      <c r="A15" s="18">
        <f>+A3+1</f>
        <v>2.1</v>
      </c>
      <c r="B15" s="17" t="s">
        <v>110</v>
      </c>
    </row>
    <row r="16" spans="1:4" x14ac:dyDescent="0.3">
      <c r="A16" s="18">
        <f>+A15+0.1</f>
        <v>2.2000000000000002</v>
      </c>
      <c r="B16" s="1" t="s">
        <v>9</v>
      </c>
      <c r="C16" t="s">
        <v>158</v>
      </c>
    </row>
    <row r="17" spans="1:4" x14ac:dyDescent="0.3">
      <c r="A17" s="18">
        <f>+A16+0.1</f>
        <v>2.3000000000000003</v>
      </c>
      <c r="B17" s="1" t="s">
        <v>111</v>
      </c>
      <c r="C17" t="s">
        <v>159</v>
      </c>
    </row>
    <row r="18" spans="1:4" x14ac:dyDescent="0.3">
      <c r="A18" s="18"/>
      <c r="B18" s="3" t="s">
        <v>112</v>
      </c>
      <c r="C18" t="s">
        <v>160</v>
      </c>
    </row>
    <row r="19" spans="1:4" x14ac:dyDescent="0.3">
      <c r="A19" s="18">
        <f>+A17+0.1</f>
        <v>2.4000000000000004</v>
      </c>
      <c r="B19" s="1" t="s">
        <v>113</v>
      </c>
      <c r="C19" t="s">
        <v>161</v>
      </c>
    </row>
    <row r="20" spans="1:4" x14ac:dyDescent="0.3">
      <c r="A20" s="18"/>
      <c r="B20" s="3" t="s">
        <v>114</v>
      </c>
      <c r="C20" t="s">
        <v>162</v>
      </c>
    </row>
    <row r="21" spans="1:4" x14ac:dyDescent="0.3">
      <c r="A21" s="18">
        <f>+A19+0.1</f>
        <v>2.5000000000000004</v>
      </c>
      <c r="B21" s="1" t="s">
        <v>115</v>
      </c>
      <c r="C21" t="s">
        <v>163</v>
      </c>
    </row>
    <row r="22" spans="1:4" x14ac:dyDescent="0.3">
      <c r="A22" s="18"/>
      <c r="B22" s="1"/>
    </row>
    <row r="23" spans="1:4" x14ac:dyDescent="0.3">
      <c r="A23" s="18"/>
    </row>
    <row r="24" spans="1:4" x14ac:dyDescent="0.3">
      <c r="A24" s="18">
        <f>+A15+1</f>
        <v>3.1</v>
      </c>
      <c r="B24" s="7" t="s">
        <v>116</v>
      </c>
    </row>
    <row r="25" spans="1:4" x14ac:dyDescent="0.3">
      <c r="A25" s="18">
        <f t="shared" ref="A25:A30" si="1">+A24+0.1</f>
        <v>3.2</v>
      </c>
      <c r="B25" s="1" t="s">
        <v>117</v>
      </c>
      <c r="C25" t="s">
        <v>164</v>
      </c>
    </row>
    <row r="26" spans="1:4" x14ac:dyDescent="0.3">
      <c r="A26" s="18">
        <f t="shared" si="1"/>
        <v>3.3000000000000003</v>
      </c>
      <c r="B26" s="1" t="s">
        <v>118</v>
      </c>
      <c r="C26" t="s">
        <v>165</v>
      </c>
    </row>
    <row r="27" spans="1:4" x14ac:dyDescent="0.3">
      <c r="A27" s="18">
        <f t="shared" si="1"/>
        <v>3.4000000000000004</v>
      </c>
      <c r="B27" s="1" t="s">
        <v>119</v>
      </c>
      <c r="C27" t="s">
        <v>166</v>
      </c>
    </row>
    <row r="28" spans="1:4" x14ac:dyDescent="0.3">
      <c r="A28" s="18">
        <f t="shared" si="1"/>
        <v>3.5000000000000004</v>
      </c>
      <c r="B28" s="1" t="s">
        <v>120</v>
      </c>
      <c r="C28" t="s">
        <v>167</v>
      </c>
    </row>
    <row r="29" spans="1:4" x14ac:dyDescent="0.3">
      <c r="A29" s="18">
        <f t="shared" si="1"/>
        <v>3.6000000000000005</v>
      </c>
      <c r="B29" s="1" t="s">
        <v>121</v>
      </c>
      <c r="C29" t="s">
        <v>168</v>
      </c>
      <c r="D29" t="s">
        <v>169</v>
      </c>
    </row>
    <row r="30" spans="1:4" x14ac:dyDescent="0.3">
      <c r="A30" s="18">
        <f t="shared" si="1"/>
        <v>3.7000000000000006</v>
      </c>
      <c r="B30" s="1" t="s">
        <v>122</v>
      </c>
      <c r="C30" t="s">
        <v>170</v>
      </c>
    </row>
    <row r="31" spans="1:4" x14ac:dyDescent="0.3">
      <c r="A31" s="18"/>
      <c r="B31" s="3" t="s">
        <v>123</v>
      </c>
      <c r="D31" t="s">
        <v>171</v>
      </c>
    </row>
    <row r="32" spans="1:4" x14ac:dyDescent="0.3">
      <c r="A32" s="18"/>
      <c r="B32" s="3"/>
    </row>
    <row r="33" spans="1:4" x14ac:dyDescent="0.3">
      <c r="A33" s="18"/>
    </row>
    <row r="34" spans="1:4" x14ac:dyDescent="0.3">
      <c r="A34" s="18">
        <f>+A24+1</f>
        <v>4.0999999999999996</v>
      </c>
      <c r="B34" s="17" t="s">
        <v>124</v>
      </c>
    </row>
    <row r="35" spans="1:4" x14ac:dyDescent="0.3">
      <c r="A35" s="18">
        <f>+A34+0.1</f>
        <v>4.1999999999999993</v>
      </c>
      <c r="B35" s="1" t="s">
        <v>125</v>
      </c>
      <c r="C35" t="s">
        <v>172</v>
      </c>
    </row>
    <row r="36" spans="1:4" x14ac:dyDescent="0.3">
      <c r="A36" s="18">
        <f>+A35+0.1</f>
        <v>4.2999999999999989</v>
      </c>
      <c r="B36" s="1" t="s">
        <v>126</v>
      </c>
      <c r="C36" t="s">
        <v>173</v>
      </c>
    </row>
    <row r="37" spans="1:4" x14ac:dyDescent="0.3">
      <c r="A37" s="18">
        <f>+A36+0.1</f>
        <v>4.3999999999999986</v>
      </c>
      <c r="B37" s="1" t="s">
        <v>127</v>
      </c>
      <c r="C37" t="s">
        <v>174</v>
      </c>
    </row>
    <row r="38" spans="1:4" x14ac:dyDescent="0.3">
      <c r="A38" s="18">
        <f>+A37+0.1</f>
        <v>4.4999999999999982</v>
      </c>
      <c r="B38" s="1" t="s">
        <v>128</v>
      </c>
      <c r="C38" t="s">
        <v>185</v>
      </c>
    </row>
    <row r="39" spans="1:4" x14ac:dyDescent="0.3">
      <c r="A39" s="18"/>
      <c r="B39" s="1"/>
    </row>
    <row r="40" spans="1:4" x14ac:dyDescent="0.3">
      <c r="A40" s="18"/>
    </row>
    <row r="41" spans="1:4" x14ac:dyDescent="0.3">
      <c r="A41" s="18">
        <f>+A34+1</f>
        <v>5.0999999999999996</v>
      </c>
      <c r="B41" s="17" t="s">
        <v>129</v>
      </c>
    </row>
    <row r="42" spans="1:4" x14ac:dyDescent="0.3">
      <c r="A42" s="18">
        <f>+A41+0.1</f>
        <v>5.1999999999999993</v>
      </c>
      <c r="B42" s="1" t="s">
        <v>130</v>
      </c>
      <c r="C42" t="s">
        <v>175</v>
      </c>
    </row>
    <row r="43" spans="1:4" x14ac:dyDescent="0.3">
      <c r="A43" s="18">
        <f>+A42+0.1</f>
        <v>5.2999999999999989</v>
      </c>
      <c r="B43" s="3" t="s">
        <v>131</v>
      </c>
      <c r="C43" t="s">
        <v>176</v>
      </c>
    </row>
    <row r="44" spans="1:4" x14ac:dyDescent="0.3">
      <c r="A44" s="18">
        <f>+A43+0.1</f>
        <v>5.3999999999999986</v>
      </c>
      <c r="B44" s="1" t="s">
        <v>132</v>
      </c>
      <c r="C44" t="s">
        <v>178</v>
      </c>
    </row>
    <row r="45" spans="1:4" x14ac:dyDescent="0.3">
      <c r="A45" s="18">
        <f>+A44+0.1</f>
        <v>5.4999999999999982</v>
      </c>
      <c r="B45" s="3" t="s">
        <v>133</v>
      </c>
      <c r="C45" t="s">
        <v>177</v>
      </c>
      <c r="D45" t="s">
        <v>184</v>
      </c>
    </row>
    <row r="46" spans="1:4" x14ac:dyDescent="0.3">
      <c r="A46" s="18">
        <f>+A45+0.1</f>
        <v>5.5999999999999979</v>
      </c>
      <c r="B46" s="1" t="s">
        <v>134</v>
      </c>
      <c r="C46" t="s">
        <v>179</v>
      </c>
    </row>
    <row r="47" spans="1:4" x14ac:dyDescent="0.3">
      <c r="A47" s="18"/>
      <c r="B47" s="3" t="s">
        <v>135</v>
      </c>
      <c r="C47" t="s">
        <v>191</v>
      </c>
    </row>
    <row r="48" spans="1:4" x14ac:dyDescent="0.3">
      <c r="A48" s="18">
        <f>+A46+0.1</f>
        <v>5.6999999999999975</v>
      </c>
      <c r="B48" s="1" t="s">
        <v>136</v>
      </c>
      <c r="C48" t="s">
        <v>180</v>
      </c>
    </row>
    <row r="49" spans="1:4" x14ac:dyDescent="0.3">
      <c r="A49" s="18">
        <f>+A47+0.1</f>
        <v>0.1</v>
      </c>
      <c r="B49" s="1" t="s">
        <v>137</v>
      </c>
      <c r="C49" t="s">
        <v>181</v>
      </c>
    </row>
    <row r="50" spans="1:4" x14ac:dyDescent="0.3">
      <c r="A50" s="18">
        <f>+A48+0.1</f>
        <v>5.7999999999999972</v>
      </c>
      <c r="B50" s="1" t="s">
        <v>138</v>
      </c>
      <c r="C50" t="s">
        <v>182</v>
      </c>
      <c r="D50" t="s">
        <v>183</v>
      </c>
    </row>
    <row r="51" spans="1:4" x14ac:dyDescent="0.3">
      <c r="A51" s="18">
        <f>+A49+0.1</f>
        <v>0.2</v>
      </c>
      <c r="B51" s="1" t="s">
        <v>128</v>
      </c>
      <c r="C51" t="s">
        <v>185</v>
      </c>
    </row>
    <row r="52" spans="1:4" x14ac:dyDescent="0.3">
      <c r="A52" s="18">
        <f>+A50+0.1</f>
        <v>5.8999999999999968</v>
      </c>
      <c r="B52" s="1" t="s">
        <v>139</v>
      </c>
      <c r="C52" t="s">
        <v>187</v>
      </c>
    </row>
    <row r="53" spans="1:4" x14ac:dyDescent="0.3">
      <c r="A53" s="18"/>
      <c r="B53" s="3" t="s">
        <v>140</v>
      </c>
      <c r="C53" t="s">
        <v>186</v>
      </c>
    </row>
    <row r="55" spans="1:4" x14ac:dyDescent="0.3">
      <c r="B55" s="1" t="s">
        <v>202</v>
      </c>
      <c r="C55" t="s">
        <v>203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List of Ratios (2)</vt:lpstr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Harrison Goodwin</cp:lastModifiedBy>
  <dcterms:created xsi:type="dcterms:W3CDTF">2020-05-18T16:32:37Z</dcterms:created>
  <dcterms:modified xsi:type="dcterms:W3CDTF">2023-08-09T13:45:06Z</dcterms:modified>
</cp:coreProperties>
</file>