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3040" windowHeight="8688"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3" l="1"/>
  <c r="E50" i="3"/>
  <c r="C50" i="3"/>
  <c r="D51" i="3"/>
  <c r="E51" i="3"/>
  <c r="C51" i="3"/>
  <c r="D49" i="3"/>
  <c r="E49" i="3"/>
  <c r="C49" i="3"/>
  <c r="D48" i="3"/>
  <c r="E48" i="3"/>
  <c r="C48" i="3"/>
  <c r="D47" i="3"/>
  <c r="E47" i="3"/>
  <c r="C47" i="3"/>
  <c r="D41" i="3"/>
  <c r="E41" i="3"/>
  <c r="C41" i="3"/>
  <c r="E40" i="3"/>
  <c r="D40" i="3"/>
  <c r="C40" i="3"/>
  <c r="D37" i="3"/>
  <c r="E37" i="3"/>
  <c r="C37" i="3"/>
  <c r="D36" i="3"/>
  <c r="E36" i="3"/>
  <c r="C36" i="3"/>
  <c r="D35" i="3"/>
  <c r="E35" i="3"/>
  <c r="C35" i="3"/>
  <c r="D34" i="3"/>
  <c r="E34" i="3"/>
  <c r="C34" i="3"/>
  <c r="D27" i="3"/>
  <c r="E27" i="3"/>
  <c r="C27" i="3"/>
  <c r="D26" i="3"/>
  <c r="E26" i="3"/>
  <c r="C26" i="3"/>
  <c r="D25" i="3"/>
  <c r="E25" i="3"/>
  <c r="C25" i="3"/>
  <c r="D22" i="3"/>
  <c r="E22" i="3"/>
  <c r="C22" i="3"/>
  <c r="D18" i="3"/>
  <c r="E18" i="3"/>
  <c r="C18" i="3"/>
  <c r="D20" i="3"/>
  <c r="E20" i="3"/>
  <c r="C20" i="3"/>
  <c r="D19" i="3"/>
  <c r="E19" i="3"/>
  <c r="C19" i="3"/>
  <c r="D21" i="3"/>
  <c r="E21" i="3"/>
  <c r="C21" i="3"/>
  <c r="D17" i="3"/>
  <c r="E17" i="3"/>
  <c r="C17" i="3"/>
  <c r="C13" i="3"/>
  <c r="D13" i="3"/>
  <c r="E13" i="3"/>
  <c r="D14" i="3"/>
  <c r="E14" i="3"/>
  <c r="C14" i="3"/>
  <c r="D12" i="3"/>
  <c r="E12" i="3"/>
  <c r="C12" i="3"/>
  <c r="D11" i="3"/>
  <c r="E11" i="3"/>
  <c r="C11" i="3"/>
  <c r="D10" i="3"/>
  <c r="E10" i="3"/>
  <c r="C10" i="3"/>
  <c r="D9" i="3"/>
  <c r="E9" i="3"/>
  <c r="C9" i="3"/>
  <c r="D8" i="3"/>
  <c r="E8" i="3"/>
  <c r="C8" i="3"/>
  <c r="C6" i="3"/>
  <c r="D6" i="3"/>
  <c r="E6" i="3"/>
  <c r="D7" i="3"/>
  <c r="E7" i="3"/>
  <c r="C7" i="3"/>
  <c r="D5" i="3"/>
  <c r="E5" i="3"/>
  <c r="C5" i="3"/>
  <c r="B56" i="1" l="1"/>
  <c r="D108" i="1"/>
  <c r="C108" i="1"/>
  <c r="B108" i="1"/>
  <c r="D99" i="1"/>
  <c r="C99" i="1"/>
  <c r="B99" i="1"/>
  <c r="D68" i="1" l="1"/>
  <c r="C68" i="1"/>
  <c r="B68" i="1"/>
  <c r="D61" i="1"/>
  <c r="C61" i="1"/>
  <c r="B61" i="1"/>
  <c r="D56" i="1"/>
  <c r="C56" i="1"/>
  <c r="D47" i="1"/>
  <c r="C47" i="1"/>
  <c r="B47" i="1"/>
  <c r="D42" i="1"/>
  <c r="C42" i="1"/>
  <c r="B42" i="1"/>
  <c r="B48" i="1" s="1"/>
  <c r="D17" i="1"/>
  <c r="C17" i="1"/>
  <c r="B17" i="1"/>
  <c r="D12" i="1"/>
  <c r="C12" i="1"/>
  <c r="B12" i="1"/>
  <c r="D8" i="1"/>
  <c r="D13" i="1" s="1"/>
  <c r="D18" i="1" s="1"/>
  <c r="D20" i="1" s="1"/>
  <c r="D22" i="1" s="1"/>
  <c r="D76" i="1" s="1"/>
  <c r="D91" i="1" s="1"/>
  <c r="D109" i="1" s="1"/>
  <c r="C8" i="1"/>
  <c r="B8" i="1"/>
  <c r="E3" i="3"/>
  <c r="D3" i="3"/>
  <c r="C3" i="3"/>
  <c r="D33" i="1"/>
  <c r="D73" i="1" s="1"/>
  <c r="C33" i="1"/>
  <c r="C73" i="1" s="1"/>
  <c r="B33" i="1"/>
  <c r="B73" i="1" s="1"/>
  <c r="C62" i="1" l="1"/>
  <c r="B13" i="1"/>
  <c r="B18" i="1" s="1"/>
  <c r="B20" i="1" s="1"/>
  <c r="B22" i="1" s="1"/>
  <c r="B76" i="1" s="1"/>
  <c r="B91" i="1" s="1"/>
  <c r="B109" i="1" s="1"/>
  <c r="C13" i="1"/>
  <c r="C18" i="1" s="1"/>
  <c r="C20" i="1" s="1"/>
  <c r="C22" i="1" s="1"/>
  <c r="C76" i="1" s="1"/>
  <c r="C91" i="1" s="1"/>
  <c r="C109" i="1" s="1"/>
  <c r="B62" i="1"/>
  <c r="B69" i="1" s="1"/>
  <c r="C48" i="1"/>
  <c r="D62" i="1"/>
  <c r="D69" i="1" s="1"/>
  <c r="C69" i="1"/>
  <c r="D48" i="1"/>
  <c r="A47" i="3"/>
  <c r="A49" i="3" s="1"/>
  <c r="A16" i="3"/>
  <c r="A17" i="3" s="1"/>
  <c r="A18" i="3" s="1"/>
  <c r="A20" i="3" s="1"/>
  <c r="A22" i="3" s="1"/>
  <c r="A5" i="3"/>
  <c r="A6" i="3" s="1"/>
  <c r="A7" i="3" s="1"/>
  <c r="A8" i="3" s="1"/>
  <c r="A9" i="3" s="1"/>
  <c r="A10" i="3" s="1"/>
  <c r="A11" i="3" s="1"/>
  <c r="A12" i="3" s="1"/>
  <c r="A13" i="3" s="1"/>
  <c r="A24" i="3" l="1"/>
  <c r="A25" i="3" s="1"/>
  <c r="A26" i="3" s="1"/>
  <c r="A27" i="3" s="1"/>
  <c r="A28" i="3" s="1"/>
  <c r="A29" i="3" s="1"/>
  <c r="A30" i="3" s="1"/>
  <c r="A33" i="3"/>
  <c r="A39" i="3" l="1"/>
  <c r="A40" i="3" s="1"/>
  <c r="A41" i="3" s="1"/>
  <c r="A42" i="3" s="1"/>
  <c r="A43" i="3" s="1"/>
  <c r="A44" i="3" s="1"/>
  <c r="A46" i="3" s="1"/>
  <c r="A48" i="3" s="1"/>
  <c r="A50" i="3" s="1"/>
  <c r="A34" i="3"/>
  <c r="A35" i="3" s="1"/>
  <c r="A36" i="3" s="1"/>
  <c r="A37" i="3" s="1"/>
</calcChain>
</file>

<file path=xl/sharedStrings.xml><?xml version="1.0" encoding="utf-8"?>
<sst xmlns="http://schemas.openxmlformats.org/spreadsheetml/2006/main" count="190" uniqueCount="166">
  <si>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</si>
  <si>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</si>
  <si>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</si>
  <si>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</si>
  <si>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</si>
  <si>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</si>
  <si>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</si>
  <si>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</si>
  <si>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</si>
  <si>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</si>
  <si>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</si>
  <si>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</si>
  <si>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</si>
  <si>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</si>
  <si>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</si>
  <si>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</si>
  <si>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</si>
  <si>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</si>
  <si>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</si>
  <si>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</si>
  <si>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</si>
  <si>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</si>
  <si>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</si>
  <si>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</si>
  <si>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</si>
  <si>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</si>
  <si>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</si>
  <si>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</si>
  <si>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</si>
  <si>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</si>
  <si>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</si>
  <si>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</si>
  <si>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</si>
  <si>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</si>
  <si>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</si>
  <si>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</si>
  <si>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</si>
  <si>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</si>
  <si>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</si>
  <si>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</si>
  <si>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</si>
  <si>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</si>
  <si>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</si>
  <si>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</si>
  <si>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</si>
  <si>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</si>
  <si>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</si>
  <si>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</si>
  <si>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</si>
  <si>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</si>
  <si>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</si>
  <si>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</si>
  <si>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</si>
  <si>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</si>
  <si>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</si>
  <si>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</si>
  <si>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</si>
  <si>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</si>
  <si>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</si>
  <si>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</si>
  <si>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</si>
  <si>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</si>
  <si>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</si>
  <si>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</si>
  <si>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</si>
  <si>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</si>
  <si>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</si>
  <si>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</si>
  <si>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</si>
  <si>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</si>
  <si>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</si>
  <si>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</si>
  <si>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</si>
  <si>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</si>
  <si>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</si>
  <si>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</si>
  <si>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</si>
  <si>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</si>
  <si>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</si>
  <si>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</si>
  <si>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</si>
  <si>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</si>
  <si>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</si>
  <si>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</si>
  <si>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</si>
  <si>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</si>
  <si>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</si>
  <si>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</si>
  <si>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</si>
  <si>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</si>
  <si>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</si>
  <si>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</si>
  <si>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</si>
  <si>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</si>
  <si>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</si>
  <si>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</si>
  <si>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</si>
  <si>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</si>
  <si>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</si>
  <si>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</si>
  <si>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</si>
  <si>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</si>
  <si>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</si>
  <si>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</si>
  <si>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</si>
  <si>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</si>
  <si>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</si>
  <si>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</si>
  <si>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</si>
  <si>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</si>
  <si>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</si>
  <si>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</si>
  <si>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</si>
  <si>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</si>
  <si>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</si>
  <si>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</si>
  <si>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</si>
  <si>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</si>
  <si>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</si>
  <si>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</si>
  <si>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</si>
  <si>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</si>
  <si>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</si>
  <si>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</si>
  <si>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</si>
  <si>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</si>
  <si>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</si>
  <si>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</si>
  <si>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</si>
  <si>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</si>
  <si>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</si>
  <si>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</si>
  <si>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</si>
  <si>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</si>
  <si>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</si>
  <si>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</si>
  <si>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</si>
  <si>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</si>
  <si>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</si>
  <si>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</si>
  <si>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</si>
  <si>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</si>
  <si>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</si>
  <si>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</si>
  <si>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</si>
  <si>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</si>
  <si>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</si>
  <si>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</si>
  <si>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</si>
  <si>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</si>
  <si>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Current Assets / Daily Operational Expenses where Daily Operational Expenses = (Annual Operating Expenses - Noncash Charges) / 365</t>
  </si>
  <si>
    <t>Include only term debt under long term liabilities, since differed revenue is not an actual form of capital. Short term debt is not a form of capital</t>
  </si>
  <si>
    <t>Include only term debt, since differed revenue is not an actual form of capital</t>
  </si>
  <si>
    <t>Include only term debt under debt, since differed revenue is not an actual form of capital</t>
  </si>
  <si>
    <t>EBIT / Interest Expense. EBIT is operating Income, Interest expense can be found at the bottom of cash flow</t>
  </si>
  <si>
    <t>Net Operating Income/ (Interest + Debt repayment) where Interest expense can be found at the bottom of cash flow and debt repayment can be found in the cash flow</t>
  </si>
  <si>
    <t>Cash from operations + Capex + Net debt issued. Capex (addition to PPE) and Debt issues can be found in cash flow statement. When you calculate Capex using the difference between PPE, depreciation should be added back.</t>
  </si>
  <si>
    <t>FCFE/Diluted number of shares</t>
  </si>
  <si>
    <t>Include only Property Plant &amp; Equipment for fixed asset</t>
  </si>
  <si>
    <t>Total shareholder equity/Diluted number of share/1000</t>
  </si>
  <si>
    <t>Net income/Total shareholder equity</t>
  </si>
  <si>
    <t>Market Cap + Term Debt - (Cash + Cash Equivalents)</t>
  </si>
  <si>
    <t>Dividend per share/EPS</t>
  </si>
  <si>
    <t>Dividend per share/Share price</t>
  </si>
  <si>
    <t>Net income/(Total shareholder equity + term debt)</t>
  </si>
  <si>
    <t>Feedback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</si>
</sst>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sz val="16"/>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29">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0" fontId="0" fillId="0" borderId="0" xfId="0" applyNumberFormat="1"/>
    <xf numFmtId="0" fontId="2" fillId="0" borderId="0" xfId="0" applyFont="1" applyAlignment="1">
      <alignment horizontal="center"/>
    </xf>
    <xf numFmtId="0" fontId="2" fillId="3" borderId="0" xfId="0" applyFont="1" applyFill="1" applyAlignment="1">
      <alignment horizontal="center"/>
    </xf>
    <xf numFmtId="2" fontId="0" fillId="0" borderId="0" xfId="0" applyNumberFormat="1" applyAlignment="1">
      <alignment horizontal="center"/>
    </xf>
    <xf numFmtId="2" fontId="0" fillId="0" borderId="0" xfId="0" quotePrefix="1" applyNumberFormat="1" applyAlignment="1">
      <alignment horizontal="center"/>
    </xf>
    <xf numFmtId="0" fontId="8" fillId="2" borderId="0" xfId="0" applyFont="1" applyFill="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27" sqref="A27"/>
    </sheetView>
  </sheetViews>
  <sheetFormatPr defaultColWidth="8.77734375" defaultRowHeight="14.4" x14ac:dyDescent="0.3"/>
  <cols>
    <col min="1" max="1" width="104.4414062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topLeftCell="A2" workbookViewId="0">
      <selection activeCell="D28" sqref="D28"/>
    </sheetView>
  </sheetViews>
  <sheetFormatPr defaultColWidth="8.77734375" defaultRowHeight="14.4" x14ac:dyDescent="0.3"/>
  <cols>
    <col min="1" max="1" width="59" customWidth="1"/>
    <col min="2" max="3" width="11.44140625" bestFit="1" customWidth="1"/>
    <col min="4" max="4" width="11.6640625" bestFit="1" customWidth="1"/>
  </cols>
  <sheetData>
    <row r="1" spans="1:10" ht="60" customHeight="1" x14ac:dyDescent="0.3">
      <c r="A1" s="6" t="s">
        <v>0</v>
      </c>
      <c r="B1" s="4" t="s">
        <v>2</v>
      </c>
      <c r="C1" s="4"/>
      <c r="D1" s="4"/>
      <c r="E1" s="4"/>
      <c r="F1" s="4"/>
      <c r="G1" s="4"/>
      <c r="H1" s="4"/>
      <c r="I1" s="4"/>
      <c r="J1" s="4"/>
    </row>
    <row r="2" spans="1:10" x14ac:dyDescent="0.3">
      <c r="A2" s="25" t="s">
        <v>1</v>
      </c>
      <c r="B2" s="25"/>
      <c r="C2" s="25"/>
      <c r="D2" s="25"/>
    </row>
    <row r="3" spans="1:10" x14ac:dyDescent="0.3">
      <c r="B3" s="24" t="s">
        <v>23</v>
      </c>
      <c r="C3" s="24"/>
      <c r="D3" s="24"/>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row>
    <row r="14" spans="1:10" x14ac:dyDescent="0.3">
      <c r="A14" t="s">
        <v>10</v>
      </c>
      <c r="B14" s="12"/>
      <c r="C14" s="12"/>
      <c r="D14" s="12"/>
    </row>
    <row r="15" spans="1:10" x14ac:dyDescent="0.3">
      <c r="A15" s="1" t="s">
        <v>11</v>
      </c>
      <c r="B15" s="12">
        <v>26251</v>
      </c>
      <c r="C15" s="12">
        <v>21914</v>
      </c>
      <c r="D15" s="12">
        <v>18752</v>
      </c>
    </row>
    <row r="16" spans="1:10" x14ac:dyDescent="0.3">
      <c r="A16" s="1" t="s">
        <v>12</v>
      </c>
      <c r="B16" s="12">
        <v>25094</v>
      </c>
      <c r="C16" s="12">
        <v>21973</v>
      </c>
      <c r="D16" s="12">
        <v>19916</v>
      </c>
    </row>
    <row r="17" spans="1:4" x14ac:dyDescent="0.3">
      <c r="A17" s="8" t="s">
        <v>13</v>
      </c>
      <c r="B17" s="13">
        <f>+B15+B16</f>
        <v>51345</v>
      </c>
      <c r="C17" s="13">
        <f t="shared" ref="C17" si="3">+C15+C16</f>
        <v>43887</v>
      </c>
      <c r="D17" s="13">
        <f t="shared" ref="D17" si="4">+D15+D16</f>
        <v>38668</v>
      </c>
    </row>
    <row r="18" spans="1:4" s="7" customFormat="1" x14ac:dyDescent="0.3">
      <c r="A18" s="8" t="s">
        <v>14</v>
      </c>
      <c r="B18" s="13">
        <f>+B13-B17</f>
        <v>119437</v>
      </c>
      <c r="C18" s="13">
        <f t="shared" ref="C18:D18" si="5">+C13-C17</f>
        <v>108949</v>
      </c>
      <c r="D18" s="13">
        <f t="shared" si="5"/>
        <v>66288</v>
      </c>
    </row>
    <row r="19" spans="1:4" x14ac:dyDescent="0.3">
      <c r="A19" t="s">
        <v>15</v>
      </c>
      <c r="B19" s="12">
        <v>-334</v>
      </c>
      <c r="C19" s="12">
        <v>258</v>
      </c>
      <c r="D19" s="12">
        <v>803</v>
      </c>
    </row>
    <row r="20" spans="1:4" x14ac:dyDescent="0.3">
      <c r="A20" s="8" t="s">
        <v>16</v>
      </c>
      <c r="B20" s="13">
        <f>+B18+B19</f>
        <v>119103</v>
      </c>
      <c r="C20" s="13">
        <f t="shared" ref="C20:D20" si="6">+C18+C19</f>
        <v>109207</v>
      </c>
      <c r="D20" s="13">
        <f t="shared" si="6"/>
        <v>67091</v>
      </c>
    </row>
    <row r="21" spans="1:4" x14ac:dyDescent="0.3">
      <c r="A21" t="s">
        <v>17</v>
      </c>
      <c r="B21" s="12">
        <v>19300</v>
      </c>
      <c r="C21" s="12">
        <v>14527</v>
      </c>
      <c r="D21" s="12">
        <v>9680</v>
      </c>
    </row>
    <row r="22" spans="1:4" ht="15" thickBot="1" x14ac:dyDescent="0.35">
      <c r="A22" s="9" t="s">
        <v>18</v>
      </c>
      <c r="B22" s="14">
        <f>+B20-B21</f>
        <v>99803</v>
      </c>
      <c r="C22" s="14">
        <f t="shared" ref="C22:D22" si="7">+C20-C21</f>
        <v>94680</v>
      </c>
      <c r="D22" s="14">
        <f t="shared" si="7"/>
        <v>57411</v>
      </c>
    </row>
    <row r="23" spans="1:4" ht="15" thickTop="1" x14ac:dyDescent="0.3">
      <c r="A23" t="s">
        <v>19</v>
      </c>
    </row>
    <row r="24" spans="1:4" x14ac:dyDescent="0.3">
      <c r="A24" s="1" t="s">
        <v>20</v>
      </c>
      <c r="B24" s="10">
        <v>6.15</v>
      </c>
      <c r="C24" s="10">
        <v>5.67</v>
      </c>
      <c r="D24" s="10">
        <v>3.31</v>
      </c>
    </row>
    <row r="25" spans="1:4" x14ac:dyDescent="0.3">
      <c r="A25" s="1" t="s">
        <v>21</v>
      </c>
      <c r="B25" s="10">
        <v>6.11</v>
      </c>
      <c r="C25" s="10">
        <v>5.61</v>
      </c>
      <c r="D25" s="10">
        <v>3.28</v>
      </c>
    </row>
    <row r="26" spans="1:4" x14ac:dyDescent="0.3">
      <c r="A26" t="s">
        <v>22</v>
      </c>
    </row>
    <row r="27" spans="1:4" x14ac:dyDescent="0.3">
      <c r="A27" s="1" t="s">
        <v>20</v>
      </c>
      <c r="B27" s="2">
        <v>16215963</v>
      </c>
      <c r="C27" s="2">
        <v>16701272</v>
      </c>
      <c r="D27" s="2">
        <v>17352119</v>
      </c>
    </row>
    <row r="28" spans="1:4" x14ac:dyDescent="0.3">
      <c r="A28" s="1" t="s">
        <v>21</v>
      </c>
      <c r="B28" s="2">
        <v>16325819</v>
      </c>
      <c r="C28" s="2">
        <v>16864919</v>
      </c>
      <c r="D28" s="2">
        <v>17528214</v>
      </c>
    </row>
    <row r="31" spans="1:4" x14ac:dyDescent="0.3">
      <c r="A31" s="25" t="s">
        <v>24</v>
      </c>
      <c r="B31" s="25"/>
      <c r="C31" s="25"/>
      <c r="D31" s="25"/>
    </row>
    <row r="32" spans="1:4" x14ac:dyDescent="0.3">
      <c r="B32" s="24" t="s">
        <v>142</v>
      </c>
      <c r="C32" s="24"/>
      <c r="D32" s="24"/>
    </row>
    <row r="33" spans="1:4" x14ac:dyDescent="0.3">
      <c r="B33" s="7">
        <f>+B4</f>
        <v>2022</v>
      </c>
      <c r="C33" s="7">
        <f t="shared" ref="C33:D33" si="8">+C4</f>
        <v>2021</v>
      </c>
      <c r="D33" s="7">
        <f t="shared" si="8"/>
        <v>2020</v>
      </c>
    </row>
    <row r="35" spans="1:4" x14ac:dyDescent="0.3">
      <c r="A35" t="s">
        <v>25</v>
      </c>
    </row>
    <row r="36" spans="1:4" x14ac:dyDescent="0.3">
      <c r="A36" s="1" t="s">
        <v>26</v>
      </c>
      <c r="B36" s="12">
        <v>23646</v>
      </c>
      <c r="C36" s="12">
        <v>34940</v>
      </c>
      <c r="D36" s="12">
        <v>38016</v>
      </c>
    </row>
    <row r="37" spans="1:4" x14ac:dyDescent="0.3">
      <c r="A37" s="1" t="s">
        <v>27</v>
      </c>
      <c r="B37" s="12">
        <v>24658</v>
      </c>
      <c r="C37" s="12">
        <v>27699</v>
      </c>
      <c r="D37" s="12">
        <v>52927</v>
      </c>
    </row>
    <row r="38" spans="1:4" x14ac:dyDescent="0.3">
      <c r="A38" s="1" t="s">
        <v>28</v>
      </c>
      <c r="B38" s="12">
        <v>28184</v>
      </c>
      <c r="C38" s="12">
        <v>26278</v>
      </c>
      <c r="D38" s="12">
        <v>16120</v>
      </c>
    </row>
    <row r="39" spans="1:4" x14ac:dyDescent="0.3">
      <c r="A39" s="1" t="s">
        <v>29</v>
      </c>
      <c r="B39" s="12">
        <v>4946</v>
      </c>
      <c r="C39" s="12">
        <v>6580</v>
      </c>
      <c r="D39" s="12">
        <v>4061</v>
      </c>
    </row>
    <row r="40" spans="1:4" x14ac:dyDescent="0.3">
      <c r="A40" s="1" t="s">
        <v>47</v>
      </c>
      <c r="B40" s="12">
        <v>32748</v>
      </c>
      <c r="C40" s="12">
        <v>25228</v>
      </c>
      <c r="D40" s="12">
        <v>21325</v>
      </c>
    </row>
    <row r="41" spans="1:4" x14ac:dyDescent="0.3">
      <c r="A41" s="1" t="s">
        <v>30</v>
      </c>
      <c r="B41" s="12">
        <v>21223</v>
      </c>
      <c r="C41" s="12">
        <v>14111</v>
      </c>
      <c r="D41" s="12">
        <v>11264</v>
      </c>
    </row>
    <row r="42" spans="1:4" x14ac:dyDescent="0.3">
      <c r="A42" s="8" t="s">
        <v>31</v>
      </c>
      <c r="B42" s="13">
        <f>+SUM(B36:B41)</f>
        <v>135405</v>
      </c>
      <c r="C42" s="13">
        <f t="shared" ref="C42:D42" si="9">+SUM(C36:C41)</f>
        <v>134836</v>
      </c>
      <c r="D42" s="13">
        <f t="shared" si="9"/>
        <v>143713</v>
      </c>
    </row>
    <row r="43" spans="1:4" x14ac:dyDescent="0.3">
      <c r="A43" t="s">
        <v>48</v>
      </c>
      <c r="B43" s="12"/>
      <c r="C43" s="12"/>
      <c r="D43" s="12"/>
    </row>
    <row r="44" spans="1:4" x14ac:dyDescent="0.3">
      <c r="A44" s="1" t="s">
        <v>27</v>
      </c>
      <c r="B44" s="12">
        <v>120805</v>
      </c>
      <c r="C44" s="12">
        <v>127877</v>
      </c>
      <c r="D44" s="12">
        <v>100887</v>
      </c>
    </row>
    <row r="45" spans="1:4" x14ac:dyDescent="0.3">
      <c r="A45" s="1" t="s">
        <v>32</v>
      </c>
      <c r="B45" s="12">
        <v>42117</v>
      </c>
      <c r="C45" s="12">
        <v>39440</v>
      </c>
      <c r="D45" s="12">
        <v>36766</v>
      </c>
    </row>
    <row r="46" spans="1:4" x14ac:dyDescent="0.3">
      <c r="A46" s="1" t="s">
        <v>49</v>
      </c>
      <c r="B46" s="12">
        <v>54428</v>
      </c>
      <c r="C46" s="12">
        <v>48849</v>
      </c>
      <c r="D46" s="12">
        <v>42522</v>
      </c>
    </row>
    <row r="47" spans="1:4" x14ac:dyDescent="0.3">
      <c r="A47" s="8" t="s">
        <v>50</v>
      </c>
      <c r="B47" s="13">
        <f>+SUM(B44:B46)</f>
        <v>217350</v>
      </c>
      <c r="C47" s="13">
        <f t="shared" ref="C47:D47" si="10">+SUM(C44:C46)</f>
        <v>216166</v>
      </c>
      <c r="D47" s="13">
        <f t="shared" si="10"/>
        <v>180175</v>
      </c>
    </row>
    <row r="48" spans="1:4" ht="15" thickBot="1" x14ac:dyDescent="0.35">
      <c r="A48" s="9" t="s">
        <v>33</v>
      </c>
      <c r="B48" s="14">
        <f>+B42+B47</f>
        <v>352755</v>
      </c>
      <c r="C48" s="14">
        <f t="shared" ref="C48:D48" si="11">+C42+C47</f>
        <v>351002</v>
      </c>
      <c r="D48" s="14">
        <f t="shared" si="11"/>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1" t="s">
        <v>39</v>
      </c>
      <c r="B55" s="12">
        <v>11128</v>
      </c>
      <c r="C55" s="12">
        <v>9613</v>
      </c>
      <c r="D55" s="12">
        <v>8773</v>
      </c>
    </row>
    <row r="56" spans="1:4" x14ac:dyDescent="0.3">
      <c r="A56" s="8" t="s">
        <v>40</v>
      </c>
      <c r="B56" s="13">
        <f>+SUM(B51:B55)</f>
        <v>153982</v>
      </c>
      <c r="C56" s="13">
        <f t="shared" ref="C56:D56" si="12">+SUM(C51:C55)</f>
        <v>125481</v>
      </c>
      <c r="D56" s="13">
        <f t="shared" si="12"/>
        <v>105392</v>
      </c>
    </row>
    <row r="57" spans="1:4" x14ac:dyDescent="0.3">
      <c r="A57" t="s">
        <v>51</v>
      </c>
      <c r="B57" s="12"/>
      <c r="C57" s="12"/>
      <c r="D57" s="12"/>
    </row>
    <row r="58" spans="1:4" x14ac:dyDescent="0.3">
      <c r="A58" s="1" t="s">
        <v>37</v>
      </c>
      <c r="B58" s="12"/>
      <c r="C58" s="12"/>
      <c r="D58" s="12"/>
    </row>
    <row r="59" spans="1:4" x14ac:dyDescent="0.3">
      <c r="A59" s="1"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 t="shared" ref="C61:D61" si="13">+C59+C60</f>
        <v>162431</v>
      </c>
      <c r="D61" s="21">
        <f t="shared" si="13"/>
        <v>153157</v>
      </c>
    </row>
    <row r="62" spans="1:4" x14ac:dyDescent="0.3">
      <c r="A62" s="8" t="s">
        <v>41</v>
      </c>
      <c r="B62" s="13">
        <f>+B56+B61</f>
        <v>302083</v>
      </c>
      <c r="C62" s="13">
        <f t="shared" ref="C62:D62" si="14">+C56+C61</f>
        <v>287912</v>
      </c>
      <c r="D62" s="13">
        <f t="shared" si="14"/>
        <v>258549</v>
      </c>
    </row>
    <row r="63" spans="1:4" x14ac:dyDescent="0.3">
      <c r="B63" s="12"/>
      <c r="C63" s="12"/>
      <c r="D63" s="12"/>
    </row>
    <row r="64" spans="1:4" x14ac:dyDescent="0.3">
      <c r="A64" t="s">
        <v>42</v>
      </c>
      <c r="B64" s="12"/>
      <c r="C64" s="12"/>
      <c r="D64" s="12"/>
    </row>
    <row r="65" spans="1:4" x14ac:dyDescent="0.3">
      <c r="A65" s="1" t="s">
        <v>54</v>
      </c>
      <c r="B65" s="12">
        <v>64849</v>
      </c>
      <c r="C65" s="12">
        <v>57365</v>
      </c>
      <c r="D65" s="12">
        <v>50779</v>
      </c>
    </row>
    <row r="66" spans="1:4" x14ac:dyDescent="0.3">
      <c r="A66" s="1" t="s">
        <v>43</v>
      </c>
      <c r="B66" s="12">
        <v>-3068</v>
      </c>
      <c r="C66" s="12">
        <v>5562</v>
      </c>
      <c r="D66" s="12">
        <v>14966</v>
      </c>
    </row>
    <row r="67" spans="1:4" x14ac:dyDescent="0.3">
      <c r="A67" s="1" t="s">
        <v>44</v>
      </c>
      <c r="B67" s="12">
        <v>-11109</v>
      </c>
      <c r="C67" s="12">
        <v>163</v>
      </c>
      <c r="D67" s="12">
        <v>-406</v>
      </c>
    </row>
    <row r="68" spans="1:4" x14ac:dyDescent="0.3">
      <c r="A68" s="8" t="s">
        <v>45</v>
      </c>
      <c r="B68" s="13">
        <f>+SUM(B65:B67)</f>
        <v>50672</v>
      </c>
      <c r="C68" s="13">
        <f t="shared" ref="C68:D68" si="15">+SUM(C65:C67)</f>
        <v>63090</v>
      </c>
      <c r="D68" s="13">
        <f t="shared" si="15"/>
        <v>65339</v>
      </c>
    </row>
    <row r="69" spans="1:4" ht="15" thickBot="1" x14ac:dyDescent="0.35">
      <c r="A69" s="9" t="s">
        <v>46</v>
      </c>
      <c r="B69" s="14">
        <f>+B68+B62</f>
        <v>352755</v>
      </c>
      <c r="C69" s="14">
        <f t="shared" ref="C69:D69" si="16">+C68+C62</f>
        <v>351002</v>
      </c>
      <c r="D69" s="14">
        <f t="shared" si="16"/>
        <v>323888</v>
      </c>
    </row>
    <row r="70" spans="1:4" ht="15" thickTop="1" x14ac:dyDescent="0.3"/>
    <row r="71" spans="1:4" x14ac:dyDescent="0.3">
      <c r="A71" s="25" t="s">
        <v>55</v>
      </c>
      <c r="B71" s="25"/>
      <c r="C71" s="25"/>
      <c r="D71" s="25"/>
    </row>
    <row r="72" spans="1:4" x14ac:dyDescent="0.3">
      <c r="B72" s="24" t="s">
        <v>23</v>
      </c>
      <c r="C72" s="24"/>
      <c r="D72" s="24"/>
    </row>
    <row r="73" spans="1:4" x14ac:dyDescent="0.3">
      <c r="B73" s="7">
        <f>+B33</f>
        <v>2022</v>
      </c>
      <c r="C73" s="7">
        <f t="shared" ref="C73:D73" si="17">+C33</f>
        <v>2021</v>
      </c>
      <c r="D73" s="7">
        <f t="shared" si="17"/>
        <v>2020</v>
      </c>
    </row>
    <row r="75" spans="1:4" x14ac:dyDescent="0.3">
      <c r="A75" s="7" t="s">
        <v>56</v>
      </c>
      <c r="B75" s="15"/>
      <c r="C75" s="15"/>
      <c r="D75" s="15"/>
    </row>
    <row r="76" spans="1:4" x14ac:dyDescent="0.3">
      <c r="A76" t="s">
        <v>57</v>
      </c>
      <c r="B76" s="12">
        <f>+B22</f>
        <v>99803</v>
      </c>
      <c r="C76" s="12">
        <f t="shared" ref="C76:D76" si="18">+C22</f>
        <v>94680</v>
      </c>
      <c r="D76" s="12">
        <f t="shared" si="18"/>
        <v>57411</v>
      </c>
    </row>
    <row r="77" spans="1:4" x14ac:dyDescent="0.3">
      <c r="A77" s="11" t="s">
        <v>18</v>
      </c>
      <c r="B77" s="15"/>
      <c r="C77" s="15"/>
      <c r="D77" s="15"/>
    </row>
    <row r="78" spans="1:4" x14ac:dyDescent="0.3">
      <c r="A78" s="1" t="s">
        <v>58</v>
      </c>
      <c r="B78" s="12"/>
      <c r="C78" s="12"/>
      <c r="D78" s="12"/>
    </row>
    <row r="79" spans="1:4" x14ac:dyDescent="0.3">
      <c r="A79" s="3" t="s">
        <v>59</v>
      </c>
      <c r="B79" s="12">
        <v>11104</v>
      </c>
      <c r="C79" s="12">
        <v>11284</v>
      </c>
      <c r="D79" s="12">
        <v>11056</v>
      </c>
    </row>
    <row r="80" spans="1:4"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workbookViewId="0">
      <selection activeCell="F1" sqref="F1"/>
    </sheetView>
  </sheetViews>
  <sheetFormatPr defaultColWidth="8.77734375" defaultRowHeight="14.4" x14ac:dyDescent="0.3"/>
  <cols>
    <col min="1" max="1" width="4.6640625" customWidth="1"/>
    <col min="2" max="2" width="44.77734375" customWidth="1"/>
    <col min="3" max="3" width="13.109375" bestFit="1" customWidth="1"/>
    <col min="4" max="5" width="13.6640625" bestFit="1" customWidth="1"/>
    <col min="6" max="6" width="30.33203125" customWidth="1"/>
  </cols>
  <sheetData>
    <row r="1" spans="1:10" ht="60" customHeight="1" x14ac:dyDescent="0.5">
      <c r="A1" s="6"/>
      <c r="B1" s="20" t="s">
        <v>0</v>
      </c>
      <c r="C1" s="19"/>
      <c r="D1" s="19"/>
      <c r="E1" s="19"/>
      <c r="F1" s="28" t="s">
        <v>165</v>
      </c>
      <c r="G1" s="19"/>
      <c r="H1" s="19"/>
      <c r="I1" s="19"/>
      <c r="J1" s="19"/>
    </row>
    <row r="2" spans="1:10" x14ac:dyDescent="0.3">
      <c r="C2" s="24" t="s">
        <v>23</v>
      </c>
      <c r="D2" s="24"/>
      <c r="E2" s="24"/>
    </row>
    <row r="3" spans="1:10" x14ac:dyDescent="0.3">
      <c r="C3" s="7">
        <f>+'Financial Statements'!B4</f>
        <v>2022</v>
      </c>
      <c r="D3" s="7">
        <f>+'Financial Statements'!C4</f>
        <v>2021</v>
      </c>
      <c r="E3" s="7">
        <f>+'Financial Statements'!D4</f>
        <v>2020</v>
      </c>
    </row>
    <row r="4" spans="1:10" x14ac:dyDescent="0.3">
      <c r="A4" s="18">
        <v>1</v>
      </c>
      <c r="B4" s="7" t="s">
        <v>99</v>
      </c>
    </row>
    <row r="5" spans="1:10" x14ac:dyDescent="0.3">
      <c r="A5" s="18">
        <f>+A4+0.1</f>
        <v>1.1000000000000001</v>
      </c>
      <c r="B5" s="1" t="s">
        <v>100</v>
      </c>
      <c r="C5" s="26">
        <f>+'Financial Statements'!B42/'Financial Statements'!B56</f>
        <v>0.87935602862672257</v>
      </c>
      <c r="D5" s="26">
        <f>+'Financial Statements'!C42/'Financial Statements'!C56</f>
        <v>1.0745531195957954</v>
      </c>
      <c r="E5" s="26">
        <f>+'Financial Statements'!D42/'Financial Statements'!D56</f>
        <v>1.3636044481554577</v>
      </c>
    </row>
    <row r="6" spans="1:10" x14ac:dyDescent="0.3">
      <c r="A6" s="18">
        <f t="shared" ref="A6:A13" si="0">+A5+0.1</f>
        <v>1.2000000000000002</v>
      </c>
      <c r="B6" s="1" t="s">
        <v>101</v>
      </c>
      <c r="C6" s="27">
        <f>+SUM('Financial Statements'!B36:B38)/'Financial Statements'!B56</f>
        <v>0.49673338442155579</v>
      </c>
      <c r="D6" s="27">
        <f>+SUM('Financial Statements'!C36:C38)/'Financial Statements'!C56</f>
        <v>0.70860927152317876</v>
      </c>
      <c r="E6" s="27">
        <f>+SUM('Financial Statements'!D36:D38)/'Financial Statements'!D56</f>
        <v>1.0158550933657204</v>
      </c>
    </row>
    <row r="7" spans="1:10" x14ac:dyDescent="0.3">
      <c r="A7" s="18">
        <f t="shared" si="0"/>
        <v>1.3000000000000003</v>
      </c>
      <c r="B7" s="1" t="s">
        <v>102</v>
      </c>
      <c r="C7" s="26">
        <f>+'Financial Statements'!B36/'Financial Statements'!B56</f>
        <v>0.15356340351469652</v>
      </c>
      <c r="D7" s="26">
        <f>+'Financial Statements'!C36/'Financial Statements'!C56</f>
        <v>0.27844853005634318</v>
      </c>
      <c r="E7" s="26">
        <f>+'Financial Statements'!D36/'Financial Statements'!D56</f>
        <v>0.36071049035979963</v>
      </c>
    </row>
    <row r="8" spans="1:10" x14ac:dyDescent="0.3">
      <c r="A8" s="18">
        <f t="shared" si="0"/>
        <v>1.4000000000000004</v>
      </c>
      <c r="B8" s="1" t="s">
        <v>103</v>
      </c>
      <c r="C8" s="26">
        <f>+'Financial Statements'!B42/('Financial Statements'!B17/365)</f>
        <v>962.56354075372474</v>
      </c>
      <c r="D8" s="26">
        <f>+'Financial Statements'!C42/('Financial Statements'!C17/365)</f>
        <v>1121.4058832911796</v>
      </c>
      <c r="E8" s="26">
        <f>+'Financial Statements'!D42/('Financial Statements'!D17/365)</f>
        <v>1356.5543860556534</v>
      </c>
      <c r="F8" t="s">
        <v>150</v>
      </c>
    </row>
    <row r="9" spans="1:10" x14ac:dyDescent="0.3">
      <c r="A9" s="18">
        <f t="shared" si="0"/>
        <v>1.5000000000000004</v>
      </c>
      <c r="B9" s="1" t="s">
        <v>104</v>
      </c>
      <c r="C9" s="26">
        <f>+('Financial Statements'!B39/'Financial Statements'!B12)*365</f>
        <v>8.0756980666171607</v>
      </c>
      <c r="D9" s="26">
        <f>+('Financial Statements'!C39/'Financial Statements'!C12)*365</f>
        <v>11.27659274770989</v>
      </c>
      <c r="E9" s="26">
        <f>+('Financial Statements'!D39/'Financial Statements'!D12)*365</f>
        <v>8.7418833562358831</v>
      </c>
    </row>
    <row r="10" spans="1:10" x14ac:dyDescent="0.3">
      <c r="A10" s="18">
        <f t="shared" si="0"/>
        <v>1.6000000000000005</v>
      </c>
      <c r="B10" s="1" t="s">
        <v>105</v>
      </c>
      <c r="C10" s="26">
        <f>+('Financial Statements'!B51/'Financial Statements'!B12)*365</f>
        <v>104.68527730310539</v>
      </c>
      <c r="D10" s="26">
        <f>+('Financial Statements'!C51/'Financial Statements'!C12)*365</f>
        <v>93.851071222315596</v>
      </c>
      <c r="E10" s="26">
        <f>+('Financial Statements'!D51/'Financial Statements'!D12)*365</f>
        <v>91.048189715674198</v>
      </c>
    </row>
    <row r="11" spans="1:10" x14ac:dyDescent="0.3">
      <c r="A11" s="18">
        <f t="shared" si="0"/>
        <v>1.7000000000000006</v>
      </c>
      <c r="B11" s="1" t="s">
        <v>106</v>
      </c>
      <c r="C11" s="26">
        <f>+('Financial Statements'!B38/'Financial Statements'!B8)*365</f>
        <v>26.087825363656648</v>
      </c>
      <c r="D11" s="26">
        <f>+('Financial Statements'!C38/'Financial Statements'!C8)*365</f>
        <v>26.219311841713207</v>
      </c>
      <c r="E11" s="26">
        <f>+('Financial Statements'!D38/'Financial Statements'!D8)*365</f>
        <v>21.433437152796749</v>
      </c>
    </row>
    <row r="12" spans="1:10" x14ac:dyDescent="0.3">
      <c r="A12" s="18">
        <f t="shared" si="0"/>
        <v>1.8000000000000007</v>
      </c>
      <c r="B12" s="1" t="s">
        <v>107</v>
      </c>
      <c r="C12" s="26">
        <f>+C9+C11-C10</f>
        <v>-70.521753872831582</v>
      </c>
      <c r="D12" s="26">
        <f t="shared" ref="D12:E12" si="1">+D9+D11-D10</f>
        <v>-56.355166632892498</v>
      </c>
      <c r="E12" s="26">
        <f t="shared" si="1"/>
        <v>-60.872869206641568</v>
      </c>
    </row>
    <row r="13" spans="1:10" x14ac:dyDescent="0.3">
      <c r="A13" s="18">
        <f t="shared" si="0"/>
        <v>1.9000000000000008</v>
      </c>
      <c r="B13" s="1" t="s">
        <v>108</v>
      </c>
      <c r="C13" s="26">
        <f>+(C14/'Financial Statements'!B8)*100</f>
        <v>-4.7110527276784806</v>
      </c>
      <c r="D13" s="26">
        <f>+(D14/'Financial Statements'!C8)*100</f>
        <v>2.5572895737486232</v>
      </c>
      <c r="E13" s="26">
        <f>+(E14/'Financial Statements'!D8)*100</f>
        <v>13.959528623208204</v>
      </c>
    </row>
    <row r="14" spans="1:10" x14ac:dyDescent="0.3">
      <c r="A14" s="18"/>
      <c r="B14" s="3" t="s">
        <v>109</v>
      </c>
      <c r="C14">
        <f>+'Financial Statements'!B42-'Financial Statements'!B56</f>
        <v>-18577</v>
      </c>
      <c r="D14">
        <f>+'Financial Statements'!C42-'Financial Statements'!C56</f>
        <v>9355</v>
      </c>
      <c r="E14">
        <f>+'Financial Statements'!D42-'Financial Statements'!D56</f>
        <v>38321</v>
      </c>
    </row>
    <row r="15" spans="1:10" x14ac:dyDescent="0.3">
      <c r="A15" s="18"/>
    </row>
    <row r="16" spans="1:10" x14ac:dyDescent="0.3">
      <c r="A16" s="18">
        <f>+A4+1</f>
        <v>2</v>
      </c>
      <c r="B16" s="17" t="s">
        <v>110</v>
      </c>
      <c r="C16" s="23"/>
      <c r="D16" s="23"/>
      <c r="E16" s="23"/>
    </row>
    <row r="17" spans="1:6" x14ac:dyDescent="0.3">
      <c r="A17" s="18">
        <f>+A16+0.1</f>
        <v>2.1</v>
      </c>
      <c r="B17" s="1" t="s">
        <v>9</v>
      </c>
      <c r="C17" s="23">
        <f>+'Financial Statements'!B13/'Financial Statements'!B8</f>
        <v>0.43309630561360085</v>
      </c>
      <c r="D17" s="23">
        <f>+'Financial Statements'!C13/'Financial Statements'!C8</f>
        <v>0.41779359625167778</v>
      </c>
      <c r="E17" s="23">
        <f>+'Financial Statements'!D13/'Financial Statements'!D8</f>
        <v>0.38233247727810865</v>
      </c>
    </row>
    <row r="18" spans="1:6" x14ac:dyDescent="0.3">
      <c r="A18" s="18">
        <f>+A17+0.1</f>
        <v>2.2000000000000002</v>
      </c>
      <c r="B18" s="1" t="s">
        <v>111</v>
      </c>
      <c r="C18" s="23">
        <f>+(C19/'Financial Statements'!B8)</f>
        <v>0.3310467428130896</v>
      </c>
      <c r="D18" s="23">
        <f>+(D19/'Financial Statements'!C8)</f>
        <v>0.32866979938056462</v>
      </c>
      <c r="E18" s="23">
        <f>+(E19/'Financial Statements'!D8)</f>
        <v>0.2817478097736007</v>
      </c>
    </row>
    <row r="19" spans="1:6" x14ac:dyDescent="0.3">
      <c r="A19" s="18"/>
      <c r="B19" s="3" t="s">
        <v>112</v>
      </c>
      <c r="C19">
        <f>+'Financial Statements'!B18+'Financial Statements'!B79</f>
        <v>130541</v>
      </c>
      <c r="D19">
        <f>+'Financial Statements'!C18+'Financial Statements'!C79</f>
        <v>120233</v>
      </c>
      <c r="E19">
        <f>+'Financial Statements'!D18+'Financial Statements'!D79</f>
        <v>77344</v>
      </c>
    </row>
    <row r="20" spans="1:6" x14ac:dyDescent="0.3">
      <c r="A20" s="18">
        <f>+A18+0.1</f>
        <v>2.3000000000000003</v>
      </c>
      <c r="B20" s="1" t="s">
        <v>113</v>
      </c>
      <c r="C20" s="23">
        <f>+C21/'Financial Statements'!B8</f>
        <v>0.30288744395528594</v>
      </c>
      <c r="D20" s="23">
        <f>+D21/'Financial Statements'!C8</f>
        <v>0.29782377527561593</v>
      </c>
      <c r="E20" s="23">
        <f>+E21/'Financial Statements'!D8</f>
        <v>0.24147314354406862</v>
      </c>
    </row>
    <row r="21" spans="1:6" x14ac:dyDescent="0.3">
      <c r="A21" s="18"/>
      <c r="B21" s="3" t="s">
        <v>114</v>
      </c>
      <c r="C21">
        <f>+'Financial Statements'!B18</f>
        <v>119437</v>
      </c>
      <c r="D21">
        <f>+'Financial Statements'!C18</f>
        <v>108949</v>
      </c>
      <c r="E21">
        <f>+'Financial Statements'!D18</f>
        <v>66288</v>
      </c>
    </row>
    <row r="22" spans="1:6" x14ac:dyDescent="0.3">
      <c r="A22" s="18">
        <f>+A20+0.1</f>
        <v>2.4000000000000004</v>
      </c>
      <c r="B22" s="1" t="s">
        <v>115</v>
      </c>
      <c r="C22" s="23">
        <f>+'Financial Statements'!B22/'Financial Statements'!B8</f>
        <v>0.25309640705199732</v>
      </c>
      <c r="D22" s="23">
        <f>+'Financial Statements'!C22/'Financial Statements'!C8</f>
        <v>0.25881793355694238</v>
      </c>
      <c r="E22" s="23">
        <f>+'Financial Statements'!D22/'Financial Statements'!D8</f>
        <v>0.20913611278072236</v>
      </c>
    </row>
    <row r="23" spans="1:6" x14ac:dyDescent="0.3">
      <c r="A23" s="18"/>
    </row>
    <row r="24" spans="1:6" x14ac:dyDescent="0.3">
      <c r="A24" s="18">
        <f>+A16+1</f>
        <v>3</v>
      </c>
      <c r="B24" s="7" t="s">
        <v>116</v>
      </c>
    </row>
    <row r="25" spans="1:6" x14ac:dyDescent="0.3">
      <c r="A25" s="18">
        <f>+A24+0.1</f>
        <v>3.1</v>
      </c>
      <c r="B25" s="1" t="s">
        <v>117</v>
      </c>
      <c r="C25">
        <f>+'Financial Statements'!B62/'Financial Statements'!B68</f>
        <v>5.9615369434796337</v>
      </c>
      <c r="D25">
        <f>+'Financial Statements'!C62/'Financial Statements'!C68</f>
        <v>4.5635124425423994</v>
      </c>
      <c r="E25">
        <f>+'Financial Statements'!D62/'Financial Statements'!D68</f>
        <v>3.9570394404566951</v>
      </c>
      <c r="F25" t="s">
        <v>151</v>
      </c>
    </row>
    <row r="26" spans="1:6" x14ac:dyDescent="0.3">
      <c r="A26" s="18">
        <f t="shared" ref="A26:A30" si="2">+A25+0.1</f>
        <v>3.2</v>
      </c>
      <c r="B26" s="1" t="s">
        <v>118</v>
      </c>
      <c r="C26">
        <f>+'Financial Statements'!B62/'Financial Statements'!B48</f>
        <v>0.85635355983614692</v>
      </c>
      <c r="D26">
        <f>+'Financial Statements'!C62/'Financial Statements'!C48</f>
        <v>0.82025743443057308</v>
      </c>
      <c r="E26">
        <f>+'Financial Statements'!D62/'Financial Statements'!D48</f>
        <v>0.79826668477992391</v>
      </c>
      <c r="F26" t="s">
        <v>152</v>
      </c>
    </row>
    <row r="27" spans="1:6" x14ac:dyDescent="0.3">
      <c r="A27" s="18">
        <f t="shared" si="2"/>
        <v>3.3000000000000003</v>
      </c>
      <c r="B27" s="1" t="s">
        <v>119</v>
      </c>
      <c r="C27">
        <f>+'Financial Statements'!B61/'Financial Statements'!B42</f>
        <v>1.0937631549795059</v>
      </c>
      <c r="D27">
        <f>+'Financial Statements'!C61/'Financial Statements'!C42</f>
        <v>1.2046560265804385</v>
      </c>
      <c r="E27">
        <f>+'Financial Statements'!D61/'Financial Statements'!D42</f>
        <v>1.0657143055951792</v>
      </c>
      <c r="F27" t="s">
        <v>153</v>
      </c>
    </row>
    <row r="28" spans="1:6" x14ac:dyDescent="0.3">
      <c r="A28" s="18">
        <f t="shared" si="2"/>
        <v>3.4000000000000004</v>
      </c>
      <c r="B28" s="1" t="s">
        <v>120</v>
      </c>
      <c r="F28" t="s">
        <v>154</v>
      </c>
    </row>
    <row r="29" spans="1:6" x14ac:dyDescent="0.3">
      <c r="A29" s="18">
        <f t="shared" si="2"/>
        <v>3.5000000000000004</v>
      </c>
      <c r="B29" s="1" t="s">
        <v>121</v>
      </c>
      <c r="F29" t="s">
        <v>155</v>
      </c>
    </row>
    <row r="30" spans="1:6" x14ac:dyDescent="0.3">
      <c r="A30" s="18">
        <f t="shared" si="2"/>
        <v>3.6000000000000005</v>
      </c>
      <c r="B30" s="1" t="s">
        <v>122</v>
      </c>
      <c r="F30" t="s">
        <v>157</v>
      </c>
    </row>
    <row r="31" spans="1:6" x14ac:dyDescent="0.3">
      <c r="A31" s="18"/>
      <c r="B31" s="3" t="s">
        <v>123</v>
      </c>
      <c r="F31" t="s">
        <v>156</v>
      </c>
    </row>
    <row r="32" spans="1:6" x14ac:dyDescent="0.3">
      <c r="A32" s="18"/>
    </row>
    <row r="33" spans="1:6" x14ac:dyDescent="0.3">
      <c r="A33" s="18">
        <f>+A24+1</f>
        <v>4</v>
      </c>
      <c r="B33" s="17" t="s">
        <v>124</v>
      </c>
    </row>
    <row r="34" spans="1:6" x14ac:dyDescent="0.3">
      <c r="A34" s="18">
        <f>+A33+0.1</f>
        <v>4.0999999999999996</v>
      </c>
      <c r="B34" s="1" t="s">
        <v>125</v>
      </c>
      <c r="C34">
        <f>+'Financial Statements'!B8/'Financial Statements'!B48</f>
        <v>1.1178523337727317</v>
      </c>
      <c r="D34">
        <f>+'Financial Statements'!C8/'Financial Statements'!C48</f>
        <v>1.0422077367080529</v>
      </c>
      <c r="E34">
        <f>+'Financial Statements'!D8/'Financial Statements'!D48</f>
        <v>0.84756150274168851</v>
      </c>
    </row>
    <row r="35" spans="1:6" x14ac:dyDescent="0.3">
      <c r="A35" s="18">
        <f t="shared" ref="A35:A37" si="3">+A34+0.1</f>
        <v>4.1999999999999993</v>
      </c>
      <c r="B35" s="1" t="s">
        <v>126</v>
      </c>
      <c r="C35">
        <f>+'Financial Statements'!B8/'Financial Statements'!B47</f>
        <v>1.8142535081665516</v>
      </c>
      <c r="D35">
        <f>+'Financial Statements'!C8/'Financial Statements'!C47</f>
        <v>1.6922966608994938</v>
      </c>
      <c r="E35">
        <f>+'Financial Statements'!D8/'Financial Statements'!D47</f>
        <v>1.5236020535590398</v>
      </c>
      <c r="F35" t="s">
        <v>158</v>
      </c>
    </row>
    <row r="36" spans="1:6" x14ac:dyDescent="0.3">
      <c r="A36" s="18">
        <f t="shared" si="3"/>
        <v>4.2999999999999989</v>
      </c>
      <c r="B36" s="1" t="s">
        <v>127</v>
      </c>
      <c r="C36">
        <f>+'Financial Statements'!B12/'Financial Statements'!B39</f>
        <v>45.197331176708452</v>
      </c>
      <c r="D36">
        <f>+'Financial Statements'!C12/'Financial Statements'!C39</f>
        <v>32.367933130699086</v>
      </c>
      <c r="E36">
        <f>+'Financial Statements'!D12/'Financial Statements'!D39</f>
        <v>41.753016498399411</v>
      </c>
    </row>
    <row r="37" spans="1:6" x14ac:dyDescent="0.3">
      <c r="A37" s="18">
        <f t="shared" si="3"/>
        <v>4.3999999999999986</v>
      </c>
      <c r="B37" s="1" t="s">
        <v>128</v>
      </c>
      <c r="C37">
        <f>+'Financial Statements'!B22/'Financial Statements'!B48</f>
        <v>0.28292440929256851</v>
      </c>
      <c r="D37">
        <f>+'Financial Statements'!C22/'Financial Statements'!C48</f>
        <v>0.26974205275183616</v>
      </c>
      <c r="E37">
        <f>+'Financial Statements'!D22/'Financial Statements'!D48</f>
        <v>0.1772557180259843</v>
      </c>
    </row>
    <row r="38" spans="1:6" x14ac:dyDescent="0.3">
      <c r="A38" s="18"/>
    </row>
    <row r="39" spans="1:6" x14ac:dyDescent="0.3">
      <c r="A39" s="18">
        <f>+A33+1</f>
        <v>5</v>
      </c>
      <c r="B39" s="17" t="s">
        <v>129</v>
      </c>
    </row>
    <row r="40" spans="1:6" x14ac:dyDescent="0.3">
      <c r="A40" s="18">
        <f>+A39+0.1</f>
        <v>5.0999999999999996</v>
      </c>
      <c r="B40" s="1" t="s">
        <v>130</v>
      </c>
      <c r="C40">
        <f>174.31/'Financial Statements'!B25</f>
        <v>28.528641571194761</v>
      </c>
      <c r="D40">
        <f>122.15/+'Financial Statements'!C25</f>
        <v>21.773618538324421</v>
      </c>
      <c r="E40">
        <f>63.57/+'Financial Statements'!D25</f>
        <v>19.381097560975611</v>
      </c>
    </row>
    <row r="41" spans="1:6" x14ac:dyDescent="0.3">
      <c r="A41" s="18">
        <f t="shared" ref="A41:A44" si="4">+A40+0.1</f>
        <v>5.1999999999999993</v>
      </c>
      <c r="B41" s="3" t="s">
        <v>131</v>
      </c>
      <c r="C41">
        <f>+'Financial Statements'!B25</f>
        <v>6.11</v>
      </c>
      <c r="D41">
        <f>+'Financial Statements'!C25</f>
        <v>5.61</v>
      </c>
      <c r="E41">
        <f>+'Financial Statements'!D25</f>
        <v>3.28</v>
      </c>
    </row>
    <row r="42" spans="1:6" x14ac:dyDescent="0.3">
      <c r="A42" s="18">
        <f t="shared" si="4"/>
        <v>5.2999999999999989</v>
      </c>
      <c r="B42" s="1" t="s">
        <v>132</v>
      </c>
      <c r="C42">
        <v>41.99</v>
      </c>
      <c r="D42">
        <v>29.46</v>
      </c>
      <c r="E42">
        <v>14.02</v>
      </c>
    </row>
    <row r="43" spans="1:6" x14ac:dyDescent="0.3">
      <c r="A43" s="18">
        <f t="shared" si="4"/>
        <v>5.3999999999999986</v>
      </c>
      <c r="B43" s="3" t="s">
        <v>133</v>
      </c>
      <c r="F43" t="s">
        <v>159</v>
      </c>
    </row>
    <row r="44" spans="1:6" x14ac:dyDescent="0.3">
      <c r="A44" s="18">
        <f t="shared" si="4"/>
        <v>5.4999999999999982</v>
      </c>
      <c r="B44" s="1" t="s">
        <v>134</v>
      </c>
      <c r="F44" t="s">
        <v>162</v>
      </c>
    </row>
    <row r="45" spans="1:6" x14ac:dyDescent="0.3">
      <c r="A45" s="18"/>
      <c r="B45" s="3" t="s">
        <v>135</v>
      </c>
      <c r="F45" t="s">
        <v>159</v>
      </c>
    </row>
    <row r="46" spans="1:6" x14ac:dyDescent="0.3">
      <c r="A46" s="18">
        <f>+A44+0.1</f>
        <v>5.5999999999999979</v>
      </c>
      <c r="B46" s="1" t="s">
        <v>136</v>
      </c>
      <c r="F46" t="s">
        <v>163</v>
      </c>
    </row>
    <row r="47" spans="1:6" x14ac:dyDescent="0.3">
      <c r="A47" s="18">
        <f t="shared" ref="A47:A50" si="5">+A45+0.1</f>
        <v>0.1</v>
      </c>
      <c r="B47" s="1" t="s">
        <v>137</v>
      </c>
      <c r="C47">
        <f>+'Financial Statements'!B8/('Financial Statements'!B48-'Financial Statements'!B62)</f>
        <v>7.7819703189137988</v>
      </c>
      <c r="D47">
        <f>+'Financial Statements'!C8/('Financial Statements'!C48-'Financial Statements'!C62)</f>
        <v>5.798335710889206</v>
      </c>
      <c r="E47">
        <f>+'Financial Statements'!D8/('Financial Statements'!D48-'Financial Statements'!D62)</f>
        <v>4.2013957973032952</v>
      </c>
      <c r="F47" t="s">
        <v>160</v>
      </c>
    </row>
    <row r="48" spans="1:6" x14ac:dyDescent="0.3">
      <c r="A48" s="18">
        <f t="shared" si="5"/>
        <v>5.6999999999999975</v>
      </c>
      <c r="B48" s="1" t="s">
        <v>138</v>
      </c>
      <c r="C48">
        <f>+'Financial Statements'!B22/('Financial Statements'!B48-'Financial Statements'!B56)</f>
        <v>0.502095355002943</v>
      </c>
      <c r="D48">
        <f>+'Financial Statements'!C22/('Financial Statements'!C48-'Financial Statements'!C56)</f>
        <v>0.41982786525423355</v>
      </c>
      <c r="E48">
        <f>+'Financial Statements'!D22/('Financial Statements'!D48-'Financial Statements'!D56)</f>
        <v>0.26275538224956063</v>
      </c>
      <c r="F48" t="s">
        <v>164</v>
      </c>
    </row>
    <row r="49" spans="1:6" x14ac:dyDescent="0.3">
      <c r="A49" s="18">
        <f t="shared" si="5"/>
        <v>0.2</v>
      </c>
      <c r="B49" s="1" t="s">
        <v>128</v>
      </c>
      <c r="C49">
        <f>+C37</f>
        <v>0.28292440929256851</v>
      </c>
      <c r="D49">
        <f t="shared" ref="D49:E49" si="6">+D37</f>
        <v>0.26974205275183616</v>
      </c>
      <c r="E49">
        <f t="shared" si="6"/>
        <v>0.1772557180259843</v>
      </c>
    </row>
    <row r="50" spans="1:6" x14ac:dyDescent="0.3">
      <c r="A50" s="18">
        <f t="shared" si="5"/>
        <v>5.7999999999999972</v>
      </c>
      <c r="B50" s="1" t="s">
        <v>139</v>
      </c>
      <c r="C50">
        <f>C51/C19</f>
        <v>127.19571628836917</v>
      </c>
      <c r="D50">
        <f t="shared" ref="D50:E50" si="7">D51/D19</f>
        <v>142.37265143513011</v>
      </c>
      <c r="E50">
        <f t="shared" si="7"/>
        <v>229.47800734381465</v>
      </c>
    </row>
    <row r="51" spans="1:6" x14ac:dyDescent="0.3">
      <c r="A51" s="18"/>
      <c r="B51" s="3" t="s">
        <v>140</v>
      </c>
      <c r="C51" s="2">
        <f>+'Financial Statements'!B28+'Financial Statements'!B62-'Financial Statements'!B36</f>
        <v>16604256</v>
      </c>
      <c r="D51" s="2">
        <f>+'Financial Statements'!C28+'Financial Statements'!C62-'Financial Statements'!C36</f>
        <v>17117891</v>
      </c>
      <c r="E51" s="2">
        <f>+'Financial Statements'!D28+'Financial Statements'!D62-'Financial Statements'!D36</f>
        <v>17748747</v>
      </c>
      <c r="F51" t="s">
        <v>161</v>
      </c>
    </row>
  </sheetData>
  <mergeCells count="1">
    <mergeCell ref="C2:E2"/>
  </mergeCells>
  <pageMargins left="0.7" right="0.7" top="0.75" bottom="0.75" header="0.3" footer="0.3"/>
  <pageSetup orientation="portrait" horizontalDpi="1200" verticalDpi="1200" r:id="rId1"/>
  <ignoredErrors>
    <ignoredError sqref="C6:E6" formulaRange="1"/>
    <ignoredError sqref="C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2020-05-18T16:32:37Z</dcterms:created>
  <dcterms:modified xsi:type="dcterms:W3CDTF">2023-08-03T16:42:28Z</dcterms:modified>
</cp:coreProperties>
</file>