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utingservices-my.sharepoint.com/personal/kz450_bath_ac_uk/Documents/Desktop/QuillCapital/Level 1/Task 2/"/>
    </mc:Choice>
  </mc:AlternateContent>
  <xr:revisionPtr revIDLastSave="0" documentId="8_{E1E69D44-32F6-40C5-B056-C001483FB18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1" r:id="rId1"/>
    <sheet name="Financial Statements" sheetId="2" r:id="rId2"/>
    <sheet name="List of Ratios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7" l="1"/>
  <c r="E8" i="7"/>
  <c r="C8" i="7"/>
  <c r="D81" i="7"/>
  <c r="E81" i="7"/>
  <c r="C81" i="7"/>
  <c r="D28" i="7"/>
  <c r="E28" i="7"/>
  <c r="C28" i="7"/>
  <c r="D18" i="2"/>
  <c r="B18" i="2"/>
  <c r="C53" i="7"/>
  <c r="D53" i="7"/>
  <c r="E53" i="7"/>
  <c r="E10" i="7"/>
  <c r="E64" i="7" l="1"/>
  <c r="E63" i="7"/>
  <c r="E62" i="7"/>
  <c r="E59" i="7"/>
  <c r="E58" i="7"/>
  <c r="E80" i="7"/>
  <c r="D80" i="7"/>
  <c r="C80" i="7"/>
  <c r="E69" i="7"/>
  <c r="D69" i="7"/>
  <c r="C69" i="7"/>
  <c r="E67" i="7"/>
  <c r="D67" i="7"/>
  <c r="D64" i="7"/>
  <c r="C64" i="7"/>
  <c r="D63" i="7"/>
  <c r="C63" i="7"/>
  <c r="D62" i="7"/>
  <c r="C62" i="7"/>
  <c r="D59" i="7"/>
  <c r="C59" i="7"/>
  <c r="D58" i="7"/>
  <c r="C58" i="7"/>
  <c r="E47" i="7"/>
  <c r="E48" i="7" s="1"/>
  <c r="D47" i="7"/>
  <c r="D48" i="7" s="1"/>
  <c r="C47" i="7"/>
  <c r="C48" i="7" s="1"/>
  <c r="E43" i="7"/>
  <c r="E42" i="7" s="1"/>
  <c r="D43" i="7"/>
  <c r="D42" i="7" s="1"/>
  <c r="C43" i="7"/>
  <c r="C42" i="7" s="1"/>
  <c r="E38" i="7"/>
  <c r="D38" i="7"/>
  <c r="C38" i="7"/>
  <c r="E32" i="7"/>
  <c r="D32" i="7"/>
  <c r="C32" i="7"/>
  <c r="E27" i="7"/>
  <c r="D27" i="7"/>
  <c r="C27" i="7"/>
  <c r="E25" i="7"/>
  <c r="D25" i="7"/>
  <c r="C25" i="7"/>
  <c r="D10" i="7"/>
  <c r="C10" i="7"/>
  <c r="E9" i="7"/>
  <c r="D9" i="7"/>
  <c r="C9" i="7"/>
  <c r="E7" i="7"/>
  <c r="D7" i="7"/>
  <c r="A49" i="7"/>
  <c r="A51" i="7" s="1"/>
  <c r="A16" i="7"/>
  <c r="A17" i="7" s="1"/>
  <c r="A18" i="7" s="1"/>
  <c r="A20" i="7" s="1"/>
  <c r="A22" i="7" s="1"/>
  <c r="A5" i="7"/>
  <c r="A6" i="7" s="1"/>
  <c r="A7" i="7" s="1"/>
  <c r="A8" i="7" s="1"/>
  <c r="A9" i="7" s="1"/>
  <c r="A10" i="7" s="1"/>
  <c r="A11" i="7" s="1"/>
  <c r="A12" i="7" s="1"/>
  <c r="A13" i="7" s="1"/>
  <c r="D99" i="2"/>
  <c r="C99" i="2"/>
  <c r="B99" i="2"/>
  <c r="D61" i="2"/>
  <c r="D62" i="2" s="1"/>
  <c r="E45" i="7" s="1"/>
  <c r="C61" i="2"/>
  <c r="C62" i="2" s="1"/>
  <c r="D45" i="7" s="1"/>
  <c r="B61" i="2"/>
  <c r="B47" i="2"/>
  <c r="D42" i="2"/>
  <c r="E6" i="7" s="1"/>
  <c r="C42" i="2"/>
  <c r="D14" i="7" s="1"/>
  <c r="B42" i="2"/>
  <c r="D33" i="2"/>
  <c r="D73" i="2" s="1"/>
  <c r="C33" i="2"/>
  <c r="C73" i="2" s="1"/>
  <c r="B33" i="2"/>
  <c r="B73" i="2" s="1"/>
  <c r="D8" i="2"/>
  <c r="E75" i="7" s="1"/>
  <c r="C8" i="2"/>
  <c r="D11" i="7" s="1"/>
  <c r="B8" i="2"/>
  <c r="B13" i="2" s="1"/>
  <c r="B91" i="2" s="1"/>
  <c r="C68" i="7" l="1"/>
  <c r="E14" i="7"/>
  <c r="E33" i="7" s="1"/>
  <c r="D75" i="7"/>
  <c r="E5" i="7"/>
  <c r="B62" i="2"/>
  <c r="B69" i="2" s="1"/>
  <c r="E65" i="7"/>
  <c r="D68" i="7"/>
  <c r="C17" i="7"/>
  <c r="C37" i="7"/>
  <c r="D72" i="7"/>
  <c r="C29" i="7"/>
  <c r="C21" i="7"/>
  <c r="C50" i="7" s="1"/>
  <c r="D37" i="7"/>
  <c r="E72" i="7"/>
  <c r="E11" i="7"/>
  <c r="E12" i="7" s="1"/>
  <c r="D79" i="7"/>
  <c r="E37" i="7"/>
  <c r="C74" i="7"/>
  <c r="D60" i="7"/>
  <c r="D12" i="7"/>
  <c r="D74" i="7"/>
  <c r="C72" i="7"/>
  <c r="E74" i="7"/>
  <c r="E60" i="7"/>
  <c r="C11" i="7"/>
  <c r="C12" i="7" s="1"/>
  <c r="E79" i="7"/>
  <c r="C75" i="7"/>
  <c r="C60" i="7"/>
  <c r="E68" i="7"/>
  <c r="C76" i="7"/>
  <c r="C79" i="7"/>
  <c r="D5" i="7"/>
  <c r="D65" i="7"/>
  <c r="C7" i="7"/>
  <c r="C67" i="7"/>
  <c r="B48" i="2"/>
  <c r="C6" i="7"/>
  <c r="C14" i="7"/>
  <c r="C13" i="7" s="1"/>
  <c r="C5" i="7"/>
  <c r="D13" i="7"/>
  <c r="D6" i="7"/>
  <c r="C65" i="7"/>
  <c r="B109" i="2"/>
  <c r="C19" i="7"/>
  <c r="C18" i="7" s="1"/>
  <c r="C73" i="7"/>
  <c r="C77" i="7"/>
  <c r="C78" i="7"/>
  <c r="C31" i="7"/>
  <c r="C30" i="7" s="1"/>
  <c r="C46" i="7"/>
  <c r="C49" i="7"/>
  <c r="C22" i="7"/>
  <c r="A24" i="7"/>
  <c r="A25" i="7" s="1"/>
  <c r="A26" i="7" s="1"/>
  <c r="A27" i="7" s="1"/>
  <c r="A28" i="7" s="1"/>
  <c r="A29" i="7" s="1"/>
  <c r="A30" i="7" s="1"/>
  <c r="A35" i="7"/>
  <c r="D13" i="2"/>
  <c r="C13" i="2"/>
  <c r="C69" i="2"/>
  <c r="D69" i="2"/>
  <c r="C26" i="7" l="1"/>
  <c r="C45" i="7"/>
  <c r="C20" i="7"/>
  <c r="D33" i="7"/>
  <c r="E13" i="7"/>
  <c r="E61" i="7"/>
  <c r="C39" i="7"/>
  <c r="C51" i="7"/>
  <c r="C36" i="7"/>
  <c r="C44" i="7"/>
  <c r="C33" i="7"/>
  <c r="D26" i="7"/>
  <c r="D36" i="7"/>
  <c r="D44" i="7"/>
  <c r="E36" i="7"/>
  <c r="E44" i="7"/>
  <c r="E26" i="7"/>
  <c r="E73" i="7"/>
  <c r="E17" i="7"/>
  <c r="D73" i="7"/>
  <c r="C61" i="7"/>
  <c r="D17" i="7"/>
  <c r="D61" i="7"/>
  <c r="C52" i="7"/>
  <c r="A36" i="7"/>
  <c r="A37" i="7" s="1"/>
  <c r="A38" i="7" s="1"/>
  <c r="A39" i="7" s="1"/>
  <c r="A41" i="7"/>
  <c r="A42" i="7" s="1"/>
  <c r="A43" i="7" s="1"/>
  <c r="A44" i="7" s="1"/>
  <c r="A45" i="7" s="1"/>
  <c r="A46" i="7" s="1"/>
  <c r="A48" i="7" s="1"/>
  <c r="A50" i="7" s="1"/>
  <c r="A52" i="7" s="1"/>
  <c r="E21" i="7" l="1"/>
  <c r="E29" i="7"/>
  <c r="E76" i="7"/>
  <c r="E19" i="7"/>
  <c r="D29" i="7"/>
  <c r="D21" i="7"/>
  <c r="D19" i="7"/>
  <c r="D76" i="7"/>
  <c r="D91" i="2"/>
  <c r="D109" i="2" s="1"/>
  <c r="C91" i="2"/>
  <c r="C109" i="2" s="1"/>
  <c r="E18" i="7" l="1"/>
  <c r="E52" i="7"/>
  <c r="E20" i="7"/>
  <c r="E50" i="7"/>
  <c r="E78" i="7"/>
  <c r="D18" i="7"/>
  <c r="D52" i="7"/>
  <c r="D50" i="7"/>
  <c r="D20" i="7"/>
  <c r="D78" i="7"/>
  <c r="E49" i="7" l="1"/>
  <c r="E77" i="7"/>
  <c r="E51" i="7"/>
  <c r="E39" i="7"/>
  <c r="E22" i="7"/>
  <c r="E46" i="7"/>
  <c r="E31" i="7"/>
  <c r="E30" i="7" s="1"/>
  <c r="D39" i="7"/>
  <c r="D31" i="7"/>
  <c r="D30" i="7" s="1"/>
  <c r="D77" i="7"/>
  <c r="D49" i="7"/>
  <c r="D46" i="7"/>
  <c r="D22" i="7"/>
  <c r="D51" i="7"/>
  <c r="D46" i="2"/>
  <c r="D47" i="2"/>
  <c r="E66" i="7"/>
  <c r="C66" i="7"/>
  <c r="C46" i="2"/>
  <c r="C47" i="2"/>
  <c r="D6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Kareem Zeido</author>
  </authors>
  <commentList>
    <comment ref="G8" authorId="0" shapeId="0" xr:uid="{9DFF4092-2CC8-40CE-990F-B0D6F3D8EB34}">
      <text>
        <r>
          <rPr>
            <b/>
            <sz val="9"/>
            <color indexed="81"/>
            <rFont val="Tahoma"/>
            <charset val="1"/>
          </rPr>
          <t>Kareem Zeido:</t>
        </r>
        <r>
          <rPr>
            <sz val="9"/>
            <color indexed="81"/>
            <rFont val="Tahoma"/>
            <charset val="1"/>
          </rPr>
          <t xml:space="preserve">
I think I calculated noncash charges correctly. Not completely sure
</t>
        </r>
      </text>
    </comment>
    <comment ref="G50" authorId="0" shapeId="0" xr:uid="{DDAE1C98-DD19-4482-A7F1-E354CE8DD563}">
      <text>
        <r>
          <rPr>
            <b/>
            <sz val="9"/>
            <color indexed="81"/>
            <rFont val="Tahoma"/>
            <charset val="1"/>
          </rPr>
          <t>Kareem Zeido:</t>
        </r>
        <r>
          <rPr>
            <sz val="9"/>
            <color indexed="81"/>
            <rFont val="Tahoma"/>
            <charset val="1"/>
          </rPr>
          <t xml:space="preserve">
I think I fixed this. Notcompletely sure
</t>
        </r>
      </text>
    </comment>
  </commentList>
</comments>
</file>

<file path=xl/sharedStrings.xml><?xml version="1.0" encoding="utf-8"?>
<sst xmlns="http://schemas.openxmlformats.org/spreadsheetml/2006/main" count="199" uniqueCount="165">
  <si>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</si>
  <si>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</si>
  <si>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</si>
  <si>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</si>
  <si>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</si>
  <si>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</si>
  <si>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</si>
  <si>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</si>
  <si>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</si>
  <si>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</si>
  <si>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</si>
  <si>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</si>
  <si>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</si>
  <si>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</si>
  <si>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</si>
  <si>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</si>
  <si>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</si>
  <si>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</si>
  <si>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</si>
  <si>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</si>
  <si>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</si>
  <si>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</si>
  <si>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</si>
  <si>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</si>
  <si>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</si>
  <si>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</si>
  <si>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</si>
  <si>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</si>
  <si>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</si>
  <si>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</si>
  <si>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</si>
  <si>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</si>
  <si>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</si>
  <si>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</si>
  <si>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</si>
  <si>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</si>
  <si>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</si>
  <si>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</si>
  <si>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</si>
  <si>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</si>
  <si>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</si>
  <si>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</si>
  <si>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</si>
  <si>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</si>
  <si>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</si>
  <si>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</si>
  <si>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</si>
  <si>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</si>
  <si>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</si>
  <si>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</si>
  <si>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</si>
  <si>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</si>
  <si>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</si>
  <si>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</si>
  <si>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</si>
  <si>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</si>
  <si>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</si>
  <si>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</si>
  <si>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</si>
  <si>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</si>
  <si>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</si>
  <si>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</si>
  <si>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</si>
  <si>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</si>
  <si>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</si>
  <si>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</si>
  <si>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</si>
  <si>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</si>
  <si>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</si>
  <si>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</si>
  <si>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</si>
  <si>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</si>
  <si>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</si>
  <si>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</si>
  <si>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</si>
  <si>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</si>
  <si>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</si>
  <si>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</si>
  <si>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</si>
  <si>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</si>
  <si>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</si>
  <si>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</si>
  <si>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</si>
  <si>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</si>
  <si>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</si>
  <si>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</si>
  <si>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</si>
  <si>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</si>
  <si>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</si>
  <si>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</si>
  <si>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</si>
  <si>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</si>
  <si>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</si>
  <si>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</si>
  <si>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</si>
  <si>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</si>
  <si>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</si>
  <si>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</si>
  <si>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</si>
  <si>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</si>
  <si>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</si>
  <si>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</si>
  <si>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</si>
  <si>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</si>
  <si>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</si>
  <si>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</si>
  <si>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</si>
  <si>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</si>
  <si>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</si>
  <si>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</si>
  <si>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</si>
  <si>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</si>
  <si>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</si>
  <si>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</si>
  <si>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</si>
  <si>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</si>
  <si>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</si>
  <si>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</si>
  <si>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</si>
  <si>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</si>
  <si>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</si>
  <si>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</si>
  <si>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</si>
  <si>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</si>
  <si>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</si>
  <si>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</si>
  <si>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</si>
  <si>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</si>
  <si>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</si>
  <si>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</si>
  <si>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</si>
  <si>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</si>
  <si>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</si>
  <si>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</si>
  <si>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</si>
  <si>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</si>
  <si>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</si>
  <si>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</si>
  <si>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</si>
  <si>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</si>
  <si>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</si>
  <si>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</si>
  <si>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</si>
  <si>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Net debt</t>
  </si>
  <si>
    <t>Change in net working capital</t>
  </si>
  <si>
    <t>Price</t>
  </si>
  <si>
    <t>Growth Rate</t>
  </si>
  <si>
    <t>Net Sales</t>
  </si>
  <si>
    <t>Gross profits</t>
  </si>
  <si>
    <t>Current assets</t>
  </si>
  <si>
    <t>Non-current assets</t>
  </si>
  <si>
    <t>Current liabilities</t>
  </si>
  <si>
    <t>Non-current liabilities</t>
  </si>
  <si>
    <t>Margins</t>
  </si>
  <si>
    <t>COGS (Cost of goods sold)</t>
  </si>
  <si>
    <t>Net profit</t>
  </si>
  <si>
    <t>Income tax rate</t>
  </si>
  <si>
    <t>Capex as a percentage of sales</t>
  </si>
  <si>
    <t>Capex as a percentage of fixed assets</t>
  </si>
  <si>
    <t>-</t>
  </si>
  <si>
    <t>Current Assets / Daily Operational Expenses where Daily Operational Expenses = (Annual Operating Expenses - Noncash Charges) / 365</t>
  </si>
  <si>
    <t>Should be linked to EBIT</t>
  </si>
  <si>
    <t>Capital employed should be calculated as Equity + Long term debt, do not include long term accounting charges such as differed revenue or tax to this</t>
  </si>
  <si>
    <t>Need not be divided by 1000 in this company</t>
  </si>
  <si>
    <t>Noncash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</si>
</sst>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5" fontId="0" fillId="0" borderId="3" xfId="1" applyNumberFormat="1" applyFont="1" applyBorder="1"/>
    <xf numFmtId="165" fontId="0" fillId="5" borderId="0" xfId="1" applyNumberFormat="1" applyFont="1" applyFill="1"/>
    <xf numFmtId="165" fontId="2" fillId="5" borderId="2" xfId="1" applyNumberFormat="1" applyFont="1" applyFill="1" applyBorder="1"/>
    <xf numFmtId="2" fontId="0" fillId="0" borderId="0" xfId="0" applyNumberFormat="1"/>
    <xf numFmtId="9" fontId="0" fillId="0" borderId="0" xfId="3" applyFont="1"/>
    <xf numFmtId="10" fontId="0" fillId="0" borderId="0" xfId="3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6" borderId="0" xfId="0" applyFill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12" sqref="A12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60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58</v>
      </c>
    </row>
    <row r="8" spans="1:1" x14ac:dyDescent="0.3">
      <c r="A8" s="2" t="s">
        <v>59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zoomScale="75" workbookViewId="0">
      <selection activeCell="A79" sqref="A79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30" t="s">
        <v>10</v>
      </c>
      <c r="B2" s="30"/>
      <c r="C2" s="30"/>
      <c r="D2" s="30"/>
    </row>
    <row r="3" spans="1:10" x14ac:dyDescent="0.3">
      <c r="B3" s="29" t="s">
        <v>57</v>
      </c>
      <c r="C3" s="29"/>
      <c r="D3" s="29"/>
    </row>
    <row r="4" spans="1:10" x14ac:dyDescent="0.3">
      <c r="B4" s="9">
        <v>2020</v>
      </c>
      <c r="C4" s="9">
        <v>2021</v>
      </c>
      <c r="D4" s="9">
        <v>2022</v>
      </c>
    </row>
    <row r="5" spans="1:10" x14ac:dyDescent="0.3">
      <c r="A5" t="s">
        <v>62</v>
      </c>
    </row>
    <row r="6" spans="1:10" x14ac:dyDescent="0.3">
      <c r="A6" s="1" t="s">
        <v>63</v>
      </c>
      <c r="B6" s="24">
        <v>215915</v>
      </c>
      <c r="C6" s="24">
        <v>241787</v>
      </c>
      <c r="D6" s="24">
        <v>242901</v>
      </c>
    </row>
    <row r="7" spans="1:10" x14ac:dyDescent="0.3">
      <c r="A7" s="1" t="s">
        <v>64</v>
      </c>
      <c r="B7" s="24">
        <v>170149</v>
      </c>
      <c r="C7" s="24">
        <v>228035</v>
      </c>
      <c r="D7" s="24">
        <v>271082</v>
      </c>
    </row>
    <row r="8" spans="1:10" x14ac:dyDescent="0.3">
      <c r="A8" s="11" t="s">
        <v>65</v>
      </c>
      <c r="B8" s="12">
        <f>+B6+B7</f>
        <v>386064</v>
      </c>
      <c r="C8" s="12">
        <f t="shared" ref="C8:D8" si="0">+C6+C7</f>
        <v>469822</v>
      </c>
      <c r="D8" s="12">
        <f t="shared" si="0"/>
        <v>513983</v>
      </c>
    </row>
    <row r="9" spans="1:10" x14ac:dyDescent="0.3">
      <c r="A9" t="s">
        <v>66</v>
      </c>
      <c r="B9" s="10"/>
      <c r="C9" s="10"/>
      <c r="D9" s="10"/>
    </row>
    <row r="10" spans="1:10" x14ac:dyDescent="0.3">
      <c r="A10" s="1" t="s">
        <v>63</v>
      </c>
      <c r="B10" s="24" t="s">
        <v>159</v>
      </c>
      <c r="C10" s="24" t="s">
        <v>159</v>
      </c>
      <c r="D10" s="24" t="s">
        <v>159</v>
      </c>
    </row>
    <row r="11" spans="1:10" x14ac:dyDescent="0.3">
      <c r="A11" s="1" t="s">
        <v>64</v>
      </c>
      <c r="B11" s="24" t="s">
        <v>159</v>
      </c>
      <c r="C11" s="24" t="s">
        <v>159</v>
      </c>
      <c r="D11" s="24" t="s">
        <v>159</v>
      </c>
    </row>
    <row r="12" spans="1:10" x14ac:dyDescent="0.3">
      <c r="A12" s="11" t="s">
        <v>67</v>
      </c>
      <c r="B12" s="12">
        <v>233307</v>
      </c>
      <c r="C12" s="12">
        <v>272344</v>
      </c>
      <c r="D12" s="12">
        <v>288831</v>
      </c>
    </row>
    <row r="13" spans="1:10" x14ac:dyDescent="0.3">
      <c r="A13" s="11" t="s">
        <v>11</v>
      </c>
      <c r="B13" s="12">
        <f>+B8-B12</f>
        <v>152757</v>
      </c>
      <c r="C13" s="12">
        <f t="shared" ref="C13:D13" si="1">+C8-C12</f>
        <v>197478</v>
      </c>
      <c r="D13" s="12">
        <f t="shared" si="1"/>
        <v>225152</v>
      </c>
    </row>
    <row r="14" spans="1:10" x14ac:dyDescent="0.3">
      <c r="A14" t="s">
        <v>68</v>
      </c>
      <c r="B14" s="10"/>
      <c r="C14" s="10"/>
      <c r="D14" s="10"/>
    </row>
    <row r="15" spans="1:10" x14ac:dyDescent="0.3">
      <c r="A15" s="1" t="s">
        <v>69</v>
      </c>
      <c r="B15" s="24"/>
      <c r="C15" s="24"/>
      <c r="D15" s="24"/>
    </row>
    <row r="16" spans="1:10" x14ac:dyDescent="0.3">
      <c r="A16" s="1" t="s">
        <v>70</v>
      </c>
      <c r="B16" s="24"/>
      <c r="C16" s="24"/>
      <c r="D16" s="24"/>
    </row>
    <row r="17" spans="1:4" x14ac:dyDescent="0.3">
      <c r="A17" s="11" t="s">
        <v>71</v>
      </c>
      <c r="B17" s="12">
        <v>363165</v>
      </c>
      <c r="C17" s="12">
        <v>444943</v>
      </c>
      <c r="D17" s="12">
        <v>501735</v>
      </c>
    </row>
    <row r="18" spans="1:4" s="11" customFormat="1" x14ac:dyDescent="0.3">
      <c r="A18" s="11" t="s">
        <v>72</v>
      </c>
      <c r="B18" s="12">
        <f>22899</f>
        <v>22899</v>
      </c>
      <c r="C18" s="12">
        <v>24879</v>
      </c>
      <c r="D18" s="12">
        <f>12248</f>
        <v>12248</v>
      </c>
    </row>
    <row r="19" spans="1:4" x14ac:dyDescent="0.3">
      <c r="A19" t="s">
        <v>73</v>
      </c>
      <c r="B19" s="24">
        <v>75</v>
      </c>
      <c r="C19" s="24">
        <v>62</v>
      </c>
      <c r="D19" s="24">
        <v>-16806</v>
      </c>
    </row>
    <row r="20" spans="1:4" x14ac:dyDescent="0.3">
      <c r="A20" s="11" t="s">
        <v>74</v>
      </c>
      <c r="B20" s="12">
        <v>24178</v>
      </c>
      <c r="C20" s="12">
        <v>38151</v>
      </c>
      <c r="D20" s="12">
        <v>-5936</v>
      </c>
    </row>
    <row r="21" spans="1:4" x14ac:dyDescent="0.3">
      <c r="A21" t="s">
        <v>75</v>
      </c>
      <c r="B21" s="24">
        <v>2863</v>
      </c>
      <c r="C21" s="24">
        <v>4791</v>
      </c>
      <c r="D21" s="24">
        <v>3217</v>
      </c>
    </row>
    <row r="22" spans="1:4" ht="15" thickBot="1" x14ac:dyDescent="0.35">
      <c r="A22" s="13" t="s">
        <v>76</v>
      </c>
      <c r="B22" s="14">
        <v>21331</v>
      </c>
      <c r="C22" s="14">
        <v>33364</v>
      </c>
      <c r="D22" s="14">
        <v>-2722</v>
      </c>
    </row>
    <row r="23" spans="1:4" ht="15" thickTop="1" x14ac:dyDescent="0.3">
      <c r="A23" t="s">
        <v>77</v>
      </c>
    </row>
    <row r="24" spans="1:4" x14ac:dyDescent="0.3">
      <c r="A24" s="1" t="s">
        <v>78</v>
      </c>
      <c r="B24" s="15">
        <v>2.13</v>
      </c>
      <c r="C24" s="15">
        <v>3.3</v>
      </c>
      <c r="D24" s="15">
        <v>0.27</v>
      </c>
    </row>
    <row r="25" spans="1:4" x14ac:dyDescent="0.3">
      <c r="A25" s="1" t="s">
        <v>79</v>
      </c>
      <c r="B25" s="15">
        <v>2.09</v>
      </c>
      <c r="C25" s="15">
        <v>3.24</v>
      </c>
      <c r="D25" s="15">
        <v>0.27</v>
      </c>
    </row>
    <row r="26" spans="1:4" x14ac:dyDescent="0.3">
      <c r="A26" t="s">
        <v>80</v>
      </c>
    </row>
    <row r="27" spans="1:4" x14ac:dyDescent="0.3">
      <c r="A27" s="1" t="s">
        <v>78</v>
      </c>
      <c r="B27" s="16">
        <v>10005</v>
      </c>
      <c r="C27" s="16">
        <v>10117</v>
      </c>
      <c r="D27" s="16">
        <v>10189</v>
      </c>
    </row>
    <row r="28" spans="1:4" x14ac:dyDescent="0.3">
      <c r="A28" s="1" t="s">
        <v>79</v>
      </c>
      <c r="B28" s="16">
        <v>10198</v>
      </c>
      <c r="C28" s="16">
        <v>10296</v>
      </c>
      <c r="D28" s="16">
        <v>10189</v>
      </c>
    </row>
    <row r="31" spans="1:4" x14ac:dyDescent="0.3">
      <c r="A31" s="30" t="s">
        <v>12</v>
      </c>
      <c r="B31" s="30"/>
      <c r="C31" s="30"/>
      <c r="D31" s="30"/>
    </row>
    <row r="32" spans="1:4" x14ac:dyDescent="0.3">
      <c r="B32" s="29" t="s">
        <v>81</v>
      </c>
      <c r="C32" s="29"/>
      <c r="D32" s="29"/>
    </row>
    <row r="33" spans="1:4" x14ac:dyDescent="0.3">
      <c r="B33" s="9">
        <f>+B4</f>
        <v>2020</v>
      </c>
      <c r="C33" s="9">
        <f>+C4</f>
        <v>2021</v>
      </c>
      <c r="D33" s="9">
        <f>+D4</f>
        <v>2022</v>
      </c>
    </row>
    <row r="35" spans="1:4" x14ac:dyDescent="0.3">
      <c r="A35" t="s">
        <v>82</v>
      </c>
    </row>
    <row r="36" spans="1:4" x14ac:dyDescent="0.3">
      <c r="A36" s="1" t="s">
        <v>83</v>
      </c>
      <c r="B36" s="24">
        <v>42122</v>
      </c>
      <c r="C36" s="24">
        <v>36220</v>
      </c>
      <c r="D36" s="24">
        <v>53888</v>
      </c>
    </row>
    <row r="37" spans="1:4" x14ac:dyDescent="0.3">
      <c r="A37" s="1" t="s">
        <v>84</v>
      </c>
      <c r="B37" s="24">
        <v>42274</v>
      </c>
      <c r="C37" s="24">
        <v>59829</v>
      </c>
      <c r="D37" s="24">
        <v>16138</v>
      </c>
    </row>
    <row r="38" spans="1:4" x14ac:dyDescent="0.3">
      <c r="A38" s="1" t="s">
        <v>85</v>
      </c>
      <c r="B38" s="24">
        <v>24542</v>
      </c>
      <c r="C38" s="24">
        <v>32891</v>
      </c>
      <c r="D38" s="24">
        <v>42360</v>
      </c>
    </row>
    <row r="39" spans="1:4" x14ac:dyDescent="0.3">
      <c r="A39" s="1" t="s">
        <v>86</v>
      </c>
      <c r="B39" s="24">
        <v>23795</v>
      </c>
      <c r="C39" s="24">
        <v>32640</v>
      </c>
      <c r="D39" s="24">
        <v>34405</v>
      </c>
    </row>
    <row r="40" spans="1:4" x14ac:dyDescent="0.3">
      <c r="A40" s="1" t="s">
        <v>87</v>
      </c>
      <c r="B40" s="24"/>
      <c r="C40" s="24"/>
      <c r="D40" s="24"/>
    </row>
    <row r="41" spans="1:4" x14ac:dyDescent="0.3">
      <c r="A41" s="1" t="s">
        <v>88</v>
      </c>
      <c r="B41" s="24"/>
      <c r="C41" s="24"/>
      <c r="D41" s="24"/>
    </row>
    <row r="42" spans="1:4" x14ac:dyDescent="0.3">
      <c r="A42" s="11" t="s">
        <v>89</v>
      </c>
      <c r="B42" s="12">
        <f>+SUM(B36:B41)</f>
        <v>132733</v>
      </c>
      <c r="C42" s="12">
        <f t="shared" ref="C42:D42" si="2">+SUM(C36:C41)</f>
        <v>161580</v>
      </c>
      <c r="D42" s="12">
        <f t="shared" si="2"/>
        <v>146791</v>
      </c>
    </row>
    <row r="43" spans="1:4" x14ac:dyDescent="0.3">
      <c r="A43" t="s">
        <v>90</v>
      </c>
      <c r="B43" s="10"/>
      <c r="C43" s="10"/>
      <c r="D43" s="10"/>
    </row>
    <row r="44" spans="1:4" x14ac:dyDescent="0.3">
      <c r="A44" s="1" t="s">
        <v>84</v>
      </c>
      <c r="B44" s="24" t="s">
        <v>159</v>
      </c>
      <c r="C44" s="24"/>
      <c r="D44" s="24"/>
    </row>
    <row r="45" spans="1:4" x14ac:dyDescent="0.3">
      <c r="A45" s="1" t="s">
        <v>91</v>
      </c>
      <c r="B45" s="24">
        <v>113114</v>
      </c>
      <c r="C45" s="24">
        <v>160281</v>
      </c>
      <c r="D45" s="24">
        <v>186715</v>
      </c>
    </row>
    <row r="46" spans="1:4" x14ac:dyDescent="0.3">
      <c r="A46" s="1" t="s">
        <v>92</v>
      </c>
      <c r="B46" s="24">
        <v>75348</v>
      </c>
      <c r="C46" s="24">
        <f ca="1">C48-C47</f>
        <v>0</v>
      </c>
      <c r="D46" s="24">
        <f ca="1">D48-D47</f>
        <v>0</v>
      </c>
    </row>
    <row r="47" spans="1:4" x14ac:dyDescent="0.3">
      <c r="A47" s="11" t="s">
        <v>93</v>
      </c>
      <c r="B47" s="12">
        <f>+SUM(B44:B46)</f>
        <v>188462</v>
      </c>
      <c r="C47" s="12">
        <f t="shared" ref="C47:D47" ca="1" si="3">+SUM(C44:C46)</f>
        <v>160281</v>
      </c>
      <c r="D47" s="12">
        <f t="shared" ca="1" si="3"/>
        <v>186715</v>
      </c>
    </row>
    <row r="48" spans="1:4" ht="15" thickBot="1" x14ac:dyDescent="0.35">
      <c r="A48" s="13" t="s">
        <v>94</v>
      </c>
      <c r="B48" s="14">
        <f>+B42+B47</f>
        <v>321195</v>
      </c>
      <c r="C48" s="14">
        <v>420549</v>
      </c>
      <c r="D48" s="14">
        <v>462675</v>
      </c>
    </row>
    <row r="49" spans="1:4" ht="15" thickTop="1" x14ac:dyDescent="0.3"/>
    <row r="50" spans="1:4" x14ac:dyDescent="0.3">
      <c r="A50" t="s">
        <v>95</v>
      </c>
    </row>
    <row r="51" spans="1:4" x14ac:dyDescent="0.3">
      <c r="A51" s="1" t="s">
        <v>96</v>
      </c>
      <c r="B51" s="24">
        <v>72539</v>
      </c>
      <c r="C51" s="24">
        <v>78664</v>
      </c>
      <c r="D51" s="24">
        <v>79600</v>
      </c>
    </row>
    <row r="52" spans="1:4" x14ac:dyDescent="0.3">
      <c r="A52" s="1" t="s">
        <v>97</v>
      </c>
      <c r="B52" s="24"/>
      <c r="C52" s="24"/>
      <c r="D52" s="24"/>
    </row>
    <row r="53" spans="1:4" x14ac:dyDescent="0.3">
      <c r="A53" s="1" t="s">
        <v>98</v>
      </c>
      <c r="B53" s="24"/>
      <c r="C53" s="24"/>
      <c r="D53" s="24"/>
    </row>
    <row r="54" spans="1:4" x14ac:dyDescent="0.3">
      <c r="A54" s="1" t="s">
        <v>99</v>
      </c>
      <c r="B54" s="24"/>
      <c r="C54" s="24"/>
      <c r="D54" s="24"/>
    </row>
    <row r="55" spans="1:4" x14ac:dyDescent="0.3">
      <c r="A55" s="1" t="s">
        <v>100</v>
      </c>
      <c r="B55" s="24"/>
      <c r="C55" s="24"/>
      <c r="D55" s="24"/>
    </row>
    <row r="56" spans="1:4" x14ac:dyDescent="0.3">
      <c r="A56" s="11" t="s">
        <v>101</v>
      </c>
      <c r="B56" s="12">
        <v>126385</v>
      </c>
      <c r="C56" s="12">
        <v>142266</v>
      </c>
      <c r="D56" s="12">
        <v>155393</v>
      </c>
    </row>
    <row r="57" spans="1:4" x14ac:dyDescent="0.3">
      <c r="A57" t="s">
        <v>102</v>
      </c>
      <c r="B57" s="10"/>
      <c r="C57" s="10"/>
      <c r="D57" s="10"/>
    </row>
    <row r="58" spans="1:4" x14ac:dyDescent="0.3">
      <c r="A58" s="1" t="s">
        <v>98</v>
      </c>
      <c r="B58" s="10"/>
      <c r="C58" s="10"/>
      <c r="D58" s="10"/>
    </row>
    <row r="59" spans="1:4" x14ac:dyDescent="0.3">
      <c r="A59" s="1" t="s">
        <v>100</v>
      </c>
      <c r="B59" s="24">
        <v>31816</v>
      </c>
      <c r="C59" s="24">
        <v>48744</v>
      </c>
      <c r="D59" s="24">
        <v>67150</v>
      </c>
    </row>
    <row r="60" spans="1:4" x14ac:dyDescent="0.3">
      <c r="A60" s="1" t="s">
        <v>103</v>
      </c>
      <c r="B60" s="24"/>
      <c r="C60" s="24"/>
      <c r="D60" s="24"/>
    </row>
    <row r="61" spans="1:4" x14ac:dyDescent="0.3">
      <c r="A61" s="22" t="s">
        <v>104</v>
      </c>
      <c r="B61" s="23">
        <f>+B59+B60</f>
        <v>31816</v>
      </c>
      <c r="C61" s="23">
        <f>+C59+C60</f>
        <v>48744</v>
      </c>
      <c r="D61" s="23">
        <f>+D59+D60</f>
        <v>67150</v>
      </c>
    </row>
    <row r="62" spans="1:4" x14ac:dyDescent="0.3">
      <c r="A62" s="11" t="s">
        <v>105</v>
      </c>
      <c r="B62" s="12">
        <f>+B56+B61</f>
        <v>158201</v>
      </c>
      <c r="C62" s="12">
        <f t="shared" ref="C62:D62" si="4">+C56+C61</f>
        <v>191010</v>
      </c>
      <c r="D62" s="12">
        <f t="shared" si="4"/>
        <v>222543</v>
      </c>
    </row>
    <row r="63" spans="1:4" x14ac:dyDescent="0.3">
      <c r="B63" s="10"/>
      <c r="C63" s="10"/>
      <c r="D63" s="10"/>
    </row>
    <row r="64" spans="1:4" x14ac:dyDescent="0.3">
      <c r="A64" t="s">
        <v>106</v>
      </c>
      <c r="B64" s="10"/>
      <c r="C64" s="10"/>
      <c r="D64" s="10"/>
    </row>
    <row r="65" spans="1:4" x14ac:dyDescent="0.3">
      <c r="A65" s="1" t="s">
        <v>107</v>
      </c>
      <c r="B65" s="24"/>
      <c r="C65" s="24"/>
      <c r="D65" s="24"/>
    </row>
    <row r="66" spans="1:4" x14ac:dyDescent="0.3">
      <c r="A66" s="1" t="s">
        <v>108</v>
      </c>
      <c r="B66" s="24"/>
      <c r="C66" s="24"/>
      <c r="D66" s="24"/>
    </row>
    <row r="67" spans="1:4" x14ac:dyDescent="0.3">
      <c r="A67" s="1" t="s">
        <v>109</v>
      </c>
      <c r="B67" s="24"/>
      <c r="C67" s="24"/>
      <c r="D67" s="24"/>
    </row>
    <row r="68" spans="1:4" x14ac:dyDescent="0.3">
      <c r="A68" s="11" t="s">
        <v>110</v>
      </c>
      <c r="B68" s="12">
        <v>93404</v>
      </c>
      <c r="C68" s="12">
        <v>138245</v>
      </c>
      <c r="D68" s="12">
        <v>146043</v>
      </c>
    </row>
    <row r="69" spans="1:4" ht="15" thickBot="1" x14ac:dyDescent="0.35">
      <c r="A69" s="13" t="s">
        <v>111</v>
      </c>
      <c r="B69" s="14">
        <f>+B68+B62</f>
        <v>251605</v>
      </c>
      <c r="C69" s="14">
        <f t="shared" ref="C69:D69" si="5">+C68+C62</f>
        <v>329255</v>
      </c>
      <c r="D69" s="14">
        <f t="shared" si="5"/>
        <v>368586</v>
      </c>
    </row>
    <row r="70" spans="1:4" ht="15" thickTop="1" x14ac:dyDescent="0.3"/>
    <row r="71" spans="1:4" x14ac:dyDescent="0.3">
      <c r="A71" s="30" t="s">
        <v>13</v>
      </c>
      <c r="B71" s="30"/>
      <c r="C71" s="30"/>
      <c r="D71" s="30"/>
    </row>
    <row r="72" spans="1:4" x14ac:dyDescent="0.3">
      <c r="B72" s="29" t="s">
        <v>61</v>
      </c>
      <c r="C72" s="29"/>
      <c r="D72" s="29"/>
    </row>
    <row r="73" spans="1:4" x14ac:dyDescent="0.3">
      <c r="B73" s="9">
        <f>+B33</f>
        <v>2020</v>
      </c>
      <c r="C73" s="9">
        <f t="shared" ref="C73:D73" si="6">+C33</f>
        <v>2021</v>
      </c>
      <c r="D73" s="9">
        <f t="shared" si="6"/>
        <v>2022</v>
      </c>
    </row>
    <row r="75" spans="1:4" x14ac:dyDescent="0.3">
      <c r="A75" s="9" t="s">
        <v>112</v>
      </c>
      <c r="B75" s="17"/>
      <c r="C75" s="17"/>
      <c r="D75" s="17"/>
    </row>
    <row r="76" spans="1:4" x14ac:dyDescent="0.3">
      <c r="A76" t="s">
        <v>113</v>
      </c>
      <c r="B76" s="24">
        <v>36410</v>
      </c>
      <c r="C76" s="24">
        <v>42377</v>
      </c>
      <c r="D76" s="24">
        <v>36477</v>
      </c>
    </row>
    <row r="77" spans="1:4" x14ac:dyDescent="0.3">
      <c r="A77" s="18" t="s">
        <v>76</v>
      </c>
      <c r="B77" s="17"/>
      <c r="C77" s="17"/>
      <c r="D77" s="17"/>
    </row>
    <row r="78" spans="1:4" x14ac:dyDescent="0.3">
      <c r="A78" s="1" t="s">
        <v>114</v>
      </c>
      <c r="B78" s="10"/>
      <c r="C78" s="10"/>
      <c r="D78" s="10"/>
    </row>
    <row r="79" spans="1:4" x14ac:dyDescent="0.3">
      <c r="A79" s="19" t="s">
        <v>115</v>
      </c>
      <c r="B79" s="24">
        <v>25180</v>
      </c>
      <c r="C79" s="24">
        <v>34433</v>
      </c>
      <c r="D79" s="24">
        <v>41921</v>
      </c>
    </row>
    <row r="80" spans="1:4" x14ac:dyDescent="0.3">
      <c r="A80" s="19" t="s">
        <v>116</v>
      </c>
      <c r="B80" s="24">
        <v>9208</v>
      </c>
      <c r="C80" s="24">
        <v>12757</v>
      </c>
      <c r="D80" s="24">
        <v>19621</v>
      </c>
    </row>
    <row r="81" spans="1:4" x14ac:dyDescent="0.3">
      <c r="A81" s="19" t="s">
        <v>117</v>
      </c>
      <c r="B81" s="24">
        <v>-2582</v>
      </c>
      <c r="C81" s="24">
        <v>-14306</v>
      </c>
      <c r="D81" s="24">
        <v>-16966</v>
      </c>
    </row>
    <row r="82" spans="1:4" x14ac:dyDescent="0.3">
      <c r="A82" s="19" t="s">
        <v>118</v>
      </c>
      <c r="B82" s="24">
        <v>-554</v>
      </c>
      <c r="C82" s="24">
        <v>-310</v>
      </c>
      <c r="D82" s="24">
        <v>-8148</v>
      </c>
    </row>
    <row r="83" spans="1:4" x14ac:dyDescent="0.3">
      <c r="A83" t="s">
        <v>119</v>
      </c>
      <c r="B83" s="10"/>
      <c r="C83" s="10"/>
      <c r="D83" s="10"/>
    </row>
    <row r="84" spans="1:4" x14ac:dyDescent="0.3">
      <c r="A84" s="1" t="s">
        <v>85</v>
      </c>
      <c r="B84" s="24">
        <v>-8169</v>
      </c>
      <c r="C84" s="24">
        <v>-18163</v>
      </c>
      <c r="D84" s="24">
        <v>-21897</v>
      </c>
    </row>
    <row r="85" spans="1:4" x14ac:dyDescent="0.3">
      <c r="A85" s="1" t="s">
        <v>86</v>
      </c>
      <c r="B85" s="24">
        <v>-2849</v>
      </c>
      <c r="C85" s="24">
        <v>-9487</v>
      </c>
      <c r="D85" s="24">
        <v>-2592</v>
      </c>
    </row>
    <row r="86" spans="1:4" x14ac:dyDescent="0.3">
      <c r="A86" s="1" t="s">
        <v>87</v>
      </c>
      <c r="B86" s="24">
        <v>-8169</v>
      </c>
      <c r="C86" s="24">
        <v>-18163</v>
      </c>
      <c r="D86" s="24">
        <v>-21897</v>
      </c>
    </row>
    <row r="87" spans="1:4" x14ac:dyDescent="0.3">
      <c r="A87" s="1" t="s">
        <v>120</v>
      </c>
      <c r="B87" s="24"/>
      <c r="C87" s="24"/>
      <c r="D87" s="24"/>
    </row>
    <row r="88" spans="1:4" x14ac:dyDescent="0.3">
      <c r="A88" s="1" t="s">
        <v>96</v>
      </c>
      <c r="B88" s="24">
        <v>17480</v>
      </c>
      <c r="C88" s="24">
        <v>3602</v>
      </c>
      <c r="D88" s="24">
        <v>2945</v>
      </c>
    </row>
    <row r="89" spans="1:4" x14ac:dyDescent="0.3">
      <c r="A89" s="1" t="s">
        <v>98</v>
      </c>
      <c r="B89" s="24">
        <v>1265</v>
      </c>
      <c r="C89" s="24">
        <v>2314</v>
      </c>
      <c r="D89" s="24">
        <v>2216</v>
      </c>
    </row>
    <row r="90" spans="1:4" x14ac:dyDescent="0.3">
      <c r="A90" s="1" t="s">
        <v>121</v>
      </c>
      <c r="B90" s="24">
        <v>32891</v>
      </c>
      <c r="C90" s="24">
        <v>42360</v>
      </c>
      <c r="D90" s="24"/>
    </row>
    <row r="91" spans="1:4" x14ac:dyDescent="0.3">
      <c r="A91" s="11" t="s">
        <v>122</v>
      </c>
      <c r="B91" s="12">
        <f>+SUM(B76:B90)</f>
        <v>100111</v>
      </c>
      <c r="C91" s="12">
        <f t="shared" ref="C91:D91" si="7">+SUM(C76:C90)</f>
        <v>77414</v>
      </c>
      <c r="D91" s="12">
        <f t="shared" si="7"/>
        <v>31680</v>
      </c>
    </row>
    <row r="92" spans="1:4" x14ac:dyDescent="0.3">
      <c r="A92" s="9" t="s">
        <v>123</v>
      </c>
      <c r="B92" s="10"/>
      <c r="C92" s="10"/>
      <c r="D92" s="10"/>
    </row>
    <row r="93" spans="1:4" x14ac:dyDescent="0.3">
      <c r="A93" s="1" t="s">
        <v>124</v>
      </c>
      <c r="B93" s="24">
        <v>-72479</v>
      </c>
      <c r="C93" s="24">
        <v>-60157</v>
      </c>
      <c r="D93" s="24">
        <v>-2565</v>
      </c>
    </row>
    <row r="94" spans="1:4" x14ac:dyDescent="0.3">
      <c r="A94" s="1" t="s">
        <v>125</v>
      </c>
      <c r="B94" s="24"/>
      <c r="C94" s="24"/>
      <c r="D94" s="24"/>
    </row>
    <row r="95" spans="1:4" x14ac:dyDescent="0.3">
      <c r="A95" s="1" t="s">
        <v>126</v>
      </c>
      <c r="B95" s="24">
        <v>50237</v>
      </c>
      <c r="C95" s="24">
        <v>59384</v>
      </c>
      <c r="D95" s="24">
        <v>31601</v>
      </c>
    </row>
    <row r="96" spans="1:4" x14ac:dyDescent="0.3">
      <c r="A96" s="1" t="s">
        <v>127</v>
      </c>
      <c r="B96" s="24">
        <v>-40140</v>
      </c>
      <c r="C96" s="24">
        <v>-61053</v>
      </c>
      <c r="D96" s="24">
        <v>-63645</v>
      </c>
    </row>
    <row r="97" spans="1:4" x14ac:dyDescent="0.3">
      <c r="A97" s="1" t="s">
        <v>128</v>
      </c>
      <c r="B97" s="24">
        <v>-2325</v>
      </c>
      <c r="C97" s="24">
        <v>-1985</v>
      </c>
      <c r="D97" s="24">
        <v>-8316</v>
      </c>
    </row>
    <row r="98" spans="1:4" x14ac:dyDescent="0.3">
      <c r="A98" s="1" t="s">
        <v>118</v>
      </c>
      <c r="B98" s="24">
        <v>5096</v>
      </c>
      <c r="C98" s="24">
        <v>5657</v>
      </c>
      <c r="D98" s="24">
        <v>5324</v>
      </c>
    </row>
    <row r="99" spans="1:4" x14ac:dyDescent="0.3">
      <c r="A99" s="11" t="s">
        <v>129</v>
      </c>
      <c r="B99" s="12">
        <f>+SUM(B93:B98)</f>
        <v>-59611</v>
      </c>
      <c r="C99" s="12">
        <f t="shared" ref="C99:D99" si="8">+SUM(C93:C98)</f>
        <v>-58154</v>
      </c>
      <c r="D99" s="12">
        <f t="shared" si="8"/>
        <v>-37601</v>
      </c>
    </row>
    <row r="100" spans="1:4" x14ac:dyDescent="0.3">
      <c r="A100" s="9" t="s">
        <v>130</v>
      </c>
      <c r="B100" s="10"/>
      <c r="C100" s="10"/>
      <c r="D100" s="10"/>
    </row>
    <row r="101" spans="1:4" x14ac:dyDescent="0.3">
      <c r="A101" s="1" t="s">
        <v>131</v>
      </c>
      <c r="B101" s="24"/>
      <c r="C101" s="24"/>
      <c r="D101" s="24"/>
    </row>
    <row r="102" spans="1:4" x14ac:dyDescent="0.3">
      <c r="A102" s="1" t="s">
        <v>132</v>
      </c>
      <c r="B102" s="24"/>
      <c r="C102" s="24"/>
      <c r="D102" s="24"/>
    </row>
    <row r="103" spans="1:4" x14ac:dyDescent="0.3">
      <c r="A103" s="1" t="s">
        <v>133</v>
      </c>
      <c r="B103" s="24"/>
      <c r="C103" s="24"/>
      <c r="D103" s="24"/>
    </row>
    <row r="104" spans="1:4" x14ac:dyDescent="0.3">
      <c r="A104" s="1" t="s">
        <v>134</v>
      </c>
      <c r="B104" s="24"/>
      <c r="C104" s="24"/>
      <c r="D104" s="24"/>
    </row>
    <row r="105" spans="1:4" x14ac:dyDescent="0.3">
      <c r="A105" s="1" t="s">
        <v>135</v>
      </c>
      <c r="B105" s="24"/>
      <c r="C105" s="24"/>
      <c r="D105" s="24"/>
    </row>
    <row r="106" spans="1:4" x14ac:dyDescent="0.3">
      <c r="A106" s="1" t="s">
        <v>136</v>
      </c>
      <c r="B106" s="24"/>
      <c r="C106" s="24"/>
      <c r="D106" s="24"/>
    </row>
    <row r="107" spans="1:4" x14ac:dyDescent="0.3">
      <c r="A107" s="1" t="s">
        <v>118</v>
      </c>
      <c r="B107" s="24"/>
      <c r="C107" s="24"/>
      <c r="D107" s="24"/>
    </row>
    <row r="108" spans="1:4" x14ac:dyDescent="0.3">
      <c r="A108" s="11" t="s">
        <v>137</v>
      </c>
      <c r="B108" s="12">
        <v>-1104</v>
      </c>
      <c r="C108" s="12">
        <v>6291</v>
      </c>
      <c r="D108" s="12">
        <v>9718</v>
      </c>
    </row>
    <row r="109" spans="1:4" x14ac:dyDescent="0.3">
      <c r="A109" s="11" t="s">
        <v>138</v>
      </c>
      <c r="B109" s="12">
        <f>+B91+B99+B108</f>
        <v>39396</v>
      </c>
      <c r="C109" s="12">
        <f t="shared" ref="C109:D109" si="9">+C91+C99+C108</f>
        <v>25551</v>
      </c>
      <c r="D109" s="12">
        <f t="shared" si="9"/>
        <v>3797</v>
      </c>
    </row>
    <row r="110" spans="1:4" ht="15" thickBot="1" x14ac:dyDescent="0.35">
      <c r="A110" s="13" t="s">
        <v>139</v>
      </c>
      <c r="B110" s="25">
        <v>42377</v>
      </c>
      <c r="C110" s="25">
        <v>36477</v>
      </c>
      <c r="D110" s="25">
        <v>54253</v>
      </c>
    </row>
    <row r="111" spans="1:4" ht="15" thickTop="1" x14ac:dyDescent="0.3">
      <c r="B111" s="10"/>
      <c r="C111" s="10"/>
      <c r="D111" s="10"/>
    </row>
    <row r="112" spans="1:4" x14ac:dyDescent="0.3">
      <c r="A112" t="s">
        <v>140</v>
      </c>
      <c r="B112" s="10"/>
      <c r="C112" s="10"/>
      <c r="D112" s="10"/>
    </row>
    <row r="113" spans="1:4" x14ac:dyDescent="0.3">
      <c r="A113" t="s">
        <v>141</v>
      </c>
      <c r="B113" s="24">
        <v>1713</v>
      </c>
      <c r="C113" s="24">
        <v>3688</v>
      </c>
      <c r="D113" s="24">
        <v>6035</v>
      </c>
    </row>
    <row r="114" spans="1:4" x14ac:dyDescent="0.3">
      <c r="A114" t="s">
        <v>142</v>
      </c>
      <c r="B114" s="24">
        <v>916</v>
      </c>
      <c r="C114" s="24">
        <v>1098</v>
      </c>
      <c r="D114" s="24">
        <v>1561</v>
      </c>
    </row>
    <row r="115" spans="1:4" x14ac:dyDescent="0.3">
      <c r="B115" s="10"/>
      <c r="C115" s="10"/>
      <c r="D115" s="10"/>
    </row>
    <row r="116" spans="1:4" x14ac:dyDescent="0.3">
      <c r="B116" s="10"/>
      <c r="C116" s="10"/>
      <c r="D116" s="10"/>
    </row>
    <row r="117" spans="1:4" x14ac:dyDescent="0.3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81"/>
  <sheetViews>
    <sheetView tabSelected="1" zoomScale="75" workbookViewId="0">
      <selection activeCell="G46" sqref="G46"/>
    </sheetView>
  </sheetViews>
  <sheetFormatPr defaultRowHeight="14.4" x14ac:dyDescent="0.3"/>
  <cols>
    <col min="2" max="2" width="37" customWidth="1"/>
    <col min="3" max="5" width="10.5546875" bestFit="1" customWidth="1"/>
    <col min="7" max="7" width="128.88671875" bestFit="1" customWidth="1"/>
  </cols>
  <sheetData>
    <row r="3" spans="1:7" x14ac:dyDescent="0.3">
      <c r="C3">
        <v>2020</v>
      </c>
      <c r="D3">
        <v>2021</v>
      </c>
      <c r="E3">
        <v>2022</v>
      </c>
    </row>
    <row r="4" spans="1:7" x14ac:dyDescent="0.3">
      <c r="A4" s="20">
        <v>1</v>
      </c>
      <c r="B4" s="9" t="s">
        <v>14</v>
      </c>
    </row>
    <row r="5" spans="1:7" x14ac:dyDescent="0.3">
      <c r="A5" s="20">
        <f>+A4+0.1</f>
        <v>1.1000000000000001</v>
      </c>
      <c r="B5" s="1" t="s">
        <v>15</v>
      </c>
      <c r="C5" s="26">
        <f>'Financial Statements'!B42/'Financial Statements'!B56</f>
        <v>1.0502274795268425</v>
      </c>
      <c r="D5" s="26">
        <f>'Financial Statements'!C42/'Financial Statements'!C56</f>
        <v>1.1357597739445826</v>
      </c>
      <c r="E5" s="26">
        <f>'Financial Statements'!D42/'Financial Statements'!D56</f>
        <v>0.9446435811136924</v>
      </c>
    </row>
    <row r="6" spans="1:7" x14ac:dyDescent="0.3">
      <c r="A6" s="20">
        <f t="shared" ref="A6:A13" si="0">+A5+0.1</f>
        <v>1.2000000000000002</v>
      </c>
      <c r="B6" s="1" t="s">
        <v>16</v>
      </c>
      <c r="C6" s="26">
        <f>('Financial Statements'!B42-'Financial Statements'!B39-'Financial Statements'!B40-'Financial Statements'!B41)/'Financial Statements'!B56</f>
        <v>0.86195355461486722</v>
      </c>
      <c r="D6" s="26">
        <f>('Financial Statements'!C42-'Financial Statements'!C39-'Financial Statements'!C40-'Financial Statements'!C41)/'Financial Statements'!C56</f>
        <v>0.90633039517523517</v>
      </c>
      <c r="E6" s="26">
        <f>('Financial Statements'!D42-'Financial Statements'!D39-'Financial Statements'!D40-'Financial Statements'!D41)/'Financial Statements'!D56</f>
        <v>0.72323721145740161</v>
      </c>
    </row>
    <row r="7" spans="1:7" x14ac:dyDescent="0.3">
      <c r="A7" s="20">
        <f t="shared" si="0"/>
        <v>1.3000000000000003</v>
      </c>
      <c r="B7" s="1" t="s">
        <v>17</v>
      </c>
      <c r="C7" s="26">
        <f>'Financial Statements'!B36/'Financial Statements'!B56</f>
        <v>0.33328322190133325</v>
      </c>
      <c r="D7" s="26">
        <f>'Financial Statements'!C36/'Financial Statements'!C56</f>
        <v>0.25459350793583851</v>
      </c>
      <c r="E7" s="26">
        <f>'Financial Statements'!D36/'Financial Statements'!D56</f>
        <v>0.34678524772673158</v>
      </c>
    </row>
    <row r="8" spans="1:7" x14ac:dyDescent="0.3">
      <c r="A8" s="20">
        <f t="shared" si="0"/>
        <v>1.4000000000000004</v>
      </c>
      <c r="B8" s="1" t="s">
        <v>18</v>
      </c>
      <c r="C8" s="26">
        <f>'Financial Statements'!B42/(('Financial Statements'!B17-C81)/365)</f>
        <v>261.55627119010086</v>
      </c>
      <c r="D8" s="26">
        <f>'Financial Statements'!C42/(('Financial Statements'!C17-D81)/365)</f>
        <v>276.84432385744867</v>
      </c>
      <c r="E8" s="26">
        <f>'Financial Statements'!D42/(('Financial Statements'!D17-E81)/365)</f>
        <v>228.32292829686955</v>
      </c>
      <c r="G8" t="s">
        <v>160</v>
      </c>
    </row>
    <row r="9" spans="1:7" x14ac:dyDescent="0.3">
      <c r="A9" s="20">
        <f t="shared" si="0"/>
        <v>1.5000000000000004</v>
      </c>
      <c r="B9" s="1" t="s">
        <v>19</v>
      </c>
      <c r="C9" s="26">
        <f>'Financial Statements'!B39/'Financial Statements'!B12*365</f>
        <v>37.226379834295585</v>
      </c>
      <c r="D9" s="26">
        <f>'Financial Statements'!C39/'Financial Statements'!C12*365</f>
        <v>43.744675851129458</v>
      </c>
      <c r="E9" s="26">
        <f>'Financial Statements'!D39/'Financial Statements'!D12*366</f>
        <v>43.597224674636728</v>
      </c>
    </row>
    <row r="10" spans="1:7" x14ac:dyDescent="0.3">
      <c r="A10" s="20">
        <f t="shared" si="0"/>
        <v>1.6000000000000005</v>
      </c>
      <c r="B10" s="1" t="s">
        <v>20</v>
      </c>
      <c r="C10" s="26">
        <f>'Financial Statements'!B51*365/'Financial Statements'!B12</f>
        <v>113.48452896826927</v>
      </c>
      <c r="D10" s="26">
        <f>'Financial Statements'!C51*365/'Financial Statements'!C12</f>
        <v>105.42681314807743</v>
      </c>
      <c r="E10" s="26">
        <f>'Financial Statements'!D51*366/'Financial Statements'!D12</f>
        <v>100.86728917602335</v>
      </c>
    </row>
    <row r="11" spans="1:7" x14ac:dyDescent="0.3">
      <c r="A11" s="20">
        <f t="shared" si="0"/>
        <v>1.7000000000000006</v>
      </c>
      <c r="B11" s="1" t="s">
        <v>21</v>
      </c>
      <c r="C11" s="26">
        <f>'Financial Statements'!B38/'Financial Statements'!B8*365</f>
        <v>23.202966347548593</v>
      </c>
      <c r="D11" s="26">
        <f>'Financial Statements'!C38/'Financial Statements'!C8*365</f>
        <v>25.552688039299991</v>
      </c>
      <c r="E11" s="26">
        <f>'Financial Statements'!D38/'Financial Statements'!D8*366</f>
        <v>30.163954838973275</v>
      </c>
    </row>
    <row r="12" spans="1:7" x14ac:dyDescent="0.3">
      <c r="A12" s="20">
        <f t="shared" si="0"/>
        <v>1.8000000000000007</v>
      </c>
      <c r="B12" s="1" t="s">
        <v>22</v>
      </c>
      <c r="C12" s="26">
        <f>C9+C11-C10</f>
        <v>-53.055182786425092</v>
      </c>
      <c r="D12" s="26">
        <f t="shared" ref="D12:E12" si="1">D9+D11-D10</f>
        <v>-36.129449257647977</v>
      </c>
      <c r="E12" s="26">
        <f t="shared" si="1"/>
        <v>-27.106109662413346</v>
      </c>
    </row>
    <row r="13" spans="1:7" x14ac:dyDescent="0.3">
      <c r="A13" s="20">
        <f t="shared" si="0"/>
        <v>1.9000000000000008</v>
      </c>
      <c r="B13" s="1" t="s">
        <v>23</v>
      </c>
      <c r="C13" s="26">
        <f>C14/'Financial Statements'!B8</f>
        <v>1.6442869576028845E-2</v>
      </c>
      <c r="D13" s="26">
        <f>D14/'Financial Statements'!C8</f>
        <v>4.1109186032156859E-2</v>
      </c>
      <c r="E13" s="26">
        <f>E14/'Financial Statements'!D8</f>
        <v>-1.6735962084349094E-2</v>
      </c>
    </row>
    <row r="14" spans="1:7" x14ac:dyDescent="0.3">
      <c r="A14" s="20"/>
      <c r="B14" s="19" t="s">
        <v>24</v>
      </c>
      <c r="C14">
        <f>'Financial Statements'!B42-'Financial Statements'!B56</f>
        <v>6348</v>
      </c>
      <c r="D14">
        <f>'Financial Statements'!C42-'Financial Statements'!C56</f>
        <v>19314</v>
      </c>
      <c r="E14">
        <f>'Financial Statements'!D42-'Financial Statements'!D56</f>
        <v>-8602</v>
      </c>
    </row>
    <row r="15" spans="1:7" x14ac:dyDescent="0.3">
      <c r="A15" s="20"/>
    </row>
    <row r="16" spans="1:7" x14ac:dyDescent="0.3">
      <c r="A16" s="20">
        <f>+A4+1</f>
        <v>2</v>
      </c>
      <c r="B16" s="21" t="s">
        <v>25</v>
      </c>
    </row>
    <row r="17" spans="1:7" x14ac:dyDescent="0.3">
      <c r="A17" s="20">
        <f>+A16+0.1</f>
        <v>2.1</v>
      </c>
      <c r="B17" s="1" t="s">
        <v>11</v>
      </c>
      <c r="C17">
        <f>'Financial Statements'!B13/'Financial Statements'!B8</f>
        <v>0.3956779186870571</v>
      </c>
      <c r="D17">
        <f>'Financial Statements'!C13/'Financial Statements'!C8</f>
        <v>0.42032514441639601</v>
      </c>
      <c r="E17" s="27">
        <f>'Financial Statements'!D13/'Financial Statements'!D8</f>
        <v>0.43805339865326287</v>
      </c>
    </row>
    <row r="18" spans="1:7" x14ac:dyDescent="0.3">
      <c r="A18" s="20">
        <f>+A17+0.1</f>
        <v>2.2000000000000002</v>
      </c>
      <c r="B18" s="1" t="s">
        <v>26</v>
      </c>
      <c r="C18">
        <f>C19/'Financial Statements'!B8</f>
        <v>0.12453634630527581</v>
      </c>
      <c r="D18">
        <f>D19/'Financial Statements'!C8</f>
        <v>0.12624355607017126</v>
      </c>
      <c r="E18" s="27">
        <f>E19/'Financial Statements'!D8</f>
        <v>0.10539064521589235</v>
      </c>
    </row>
    <row r="19" spans="1:7" x14ac:dyDescent="0.3">
      <c r="A19" s="20"/>
      <c r="B19" s="19" t="s">
        <v>27</v>
      </c>
      <c r="C19">
        <f>'Financial Statements'!B18+'Financial Statements'!B79</f>
        <v>48079</v>
      </c>
      <c r="D19">
        <f>'Financial Statements'!C18+'Financial Statements'!C79</f>
        <v>59312</v>
      </c>
      <c r="E19">
        <f>'Financial Statements'!D18+'Financial Statements'!D79</f>
        <v>54169</v>
      </c>
    </row>
    <row r="20" spans="1:7" x14ac:dyDescent="0.3">
      <c r="A20" s="20">
        <f>+A18+0.1</f>
        <v>2.3000000000000003</v>
      </c>
      <c r="B20" s="1" t="s">
        <v>28</v>
      </c>
      <c r="C20">
        <f>C21/'Financial Statements'!B8</f>
        <v>5.9313999751336569E-2</v>
      </c>
      <c r="D20">
        <f>D21/'Financial Statements'!C8</f>
        <v>5.2954097509269465E-2</v>
      </c>
      <c r="E20">
        <f>E21/'Financial Statements'!D8</f>
        <v>2.3829581912242232E-2</v>
      </c>
    </row>
    <row r="21" spans="1:7" x14ac:dyDescent="0.3">
      <c r="A21" s="20"/>
      <c r="B21" s="19" t="s">
        <v>29</v>
      </c>
      <c r="C21">
        <f>'Financial Statements'!B18</f>
        <v>22899</v>
      </c>
      <c r="D21">
        <f>'Financial Statements'!C18</f>
        <v>24879</v>
      </c>
      <c r="E21">
        <f>'Financial Statements'!D18</f>
        <v>12248</v>
      </c>
    </row>
    <row r="22" spans="1:7" x14ac:dyDescent="0.3">
      <c r="A22" s="20">
        <f>+A20+0.1</f>
        <v>2.4000000000000004</v>
      </c>
      <c r="B22" s="1" t="s">
        <v>30</v>
      </c>
      <c r="C22">
        <f>'Financial Statements'!B22/'Financial Statements'!B8</f>
        <v>5.5252496995316841E-2</v>
      </c>
      <c r="D22">
        <f>'Financial Statements'!C22/'Financial Statements'!C8</f>
        <v>7.1014128755145567E-2</v>
      </c>
      <c r="E22" s="27">
        <f>'Financial Statements'!D22/'Financial Statements'!D8</f>
        <v>-5.2958950004183018E-3</v>
      </c>
    </row>
    <row r="23" spans="1:7" x14ac:dyDescent="0.3">
      <c r="A23" s="20"/>
    </row>
    <row r="24" spans="1:7" x14ac:dyDescent="0.3">
      <c r="A24" s="20">
        <f>+A16+1</f>
        <v>3</v>
      </c>
      <c r="B24" s="9" t="s">
        <v>31</v>
      </c>
    </row>
    <row r="25" spans="1:7" x14ac:dyDescent="0.3">
      <c r="A25" s="20">
        <f>+A24+0.1</f>
        <v>3.1</v>
      </c>
      <c r="B25" s="1" t="s">
        <v>32</v>
      </c>
      <c r="C25">
        <f>('Financial Statements'!B59)/'Financial Statements'!B68</f>
        <v>0.34062781037214679</v>
      </c>
      <c r="D25">
        <f>('Financial Statements'!C59)/'Financial Statements'!C68</f>
        <v>0.35259141379435061</v>
      </c>
      <c r="E25">
        <f>('Financial Statements'!D59)/'Financial Statements'!D68</f>
        <v>0.45979608745369516</v>
      </c>
    </row>
    <row r="26" spans="1:7" x14ac:dyDescent="0.3">
      <c r="A26" s="20">
        <f t="shared" ref="A26:A30" si="2">+A25+0.1</f>
        <v>3.2</v>
      </c>
      <c r="B26" s="1" t="s">
        <v>33</v>
      </c>
      <c r="C26">
        <f>('Financial Statements'!B59)/'Financial Statements'!B48</f>
        <v>9.9055091144009094E-2</v>
      </c>
      <c r="D26">
        <f>('Financial Statements'!C59)/'Financial Statements'!C48</f>
        <v>0.11590563763081116</v>
      </c>
      <c r="E26">
        <f>('Financial Statements'!D59)/'Financial Statements'!D48</f>
        <v>0.14513427351812827</v>
      </c>
    </row>
    <row r="27" spans="1:7" x14ac:dyDescent="0.3">
      <c r="A27" s="20">
        <f t="shared" si="2"/>
        <v>3.3000000000000003</v>
      </c>
      <c r="B27" s="1" t="s">
        <v>34</v>
      </c>
      <c r="C27">
        <f>'Financial Statements'!B55/('Financial Statements'!B55+'Financial Statements'!B68)</f>
        <v>0</v>
      </c>
      <c r="D27">
        <f>'Financial Statements'!C55/('Financial Statements'!C55+'Financial Statements'!C68)</f>
        <v>0</v>
      </c>
      <c r="E27">
        <f>'Financial Statements'!D55/('Financial Statements'!D55+'Financial Statements'!D68)</f>
        <v>0</v>
      </c>
    </row>
    <row r="28" spans="1:7" x14ac:dyDescent="0.3">
      <c r="A28" s="20">
        <f t="shared" si="2"/>
        <v>3.4000000000000004</v>
      </c>
      <c r="B28" s="1" t="s">
        <v>35</v>
      </c>
      <c r="C28">
        <f>C21/'Financial Statements'!B114</f>
        <v>24.998908296943231</v>
      </c>
      <c r="D28">
        <f>D21/'Financial Statements'!C114</f>
        <v>22.65846994535519</v>
      </c>
      <c r="E28">
        <f>E21/'Financial Statements'!D114</f>
        <v>7.8462524023062139</v>
      </c>
      <c r="G28" s="31" t="s">
        <v>161</v>
      </c>
    </row>
    <row r="29" spans="1:7" x14ac:dyDescent="0.3">
      <c r="A29" s="20">
        <f t="shared" si="2"/>
        <v>3.5000000000000004</v>
      </c>
      <c r="B29" s="1" t="s">
        <v>36</v>
      </c>
      <c r="C29" t="e">
        <f>'Financial Statements'!B18/'Financial Statements'!B105</f>
        <v>#DIV/0!</v>
      </c>
      <c r="D29" t="e">
        <f>'Financial Statements'!C18/'Financial Statements'!C105</f>
        <v>#DIV/0!</v>
      </c>
      <c r="E29" t="e">
        <f>'Financial Statements'!D18/'Financial Statements'!D105</f>
        <v>#DIV/0!</v>
      </c>
    </row>
    <row r="30" spans="1:7" x14ac:dyDescent="0.3">
      <c r="A30" s="20">
        <f t="shared" si="2"/>
        <v>3.6000000000000005</v>
      </c>
      <c r="B30" s="1" t="s">
        <v>37</v>
      </c>
      <c r="C30" t="e">
        <f>C31/'Financial Statements'!B28*1000</f>
        <v>#REF!</v>
      </c>
      <c r="D30" t="e">
        <f>D31/'Financial Statements'!C28*1000</f>
        <v>#REF!</v>
      </c>
      <c r="E30" t="e">
        <f>E31/'Financial Statements'!D28*1000</f>
        <v>#REF!</v>
      </c>
    </row>
    <row r="31" spans="1:7" x14ac:dyDescent="0.3">
      <c r="A31" s="20"/>
      <c r="B31" s="19" t="s">
        <v>38</v>
      </c>
      <c r="C31" s="26" t="e">
        <f>'Financial Statements'!B22+'Financial Statements'!B79-#REF!-'Financial Statements'!B96+C32</f>
        <v>#REF!</v>
      </c>
      <c r="D31" s="26" t="e">
        <f>'Financial Statements'!C22+'Financial Statements'!C79-#REF!-'Financial Statements'!C96+D32</f>
        <v>#REF!</v>
      </c>
      <c r="E31" s="26" t="e">
        <f>'Financial Statements'!D22+'Financial Statements'!D79-#REF!-'Financial Statements'!D96+E32</f>
        <v>#REF!</v>
      </c>
    </row>
    <row r="32" spans="1:7" x14ac:dyDescent="0.3">
      <c r="A32" s="20"/>
      <c r="B32" s="19" t="s">
        <v>143</v>
      </c>
      <c r="C32">
        <f>'Financial Statements'!B104</f>
        <v>0</v>
      </c>
      <c r="D32">
        <f>'Financial Statements'!C104</f>
        <v>0</v>
      </c>
      <c r="E32">
        <f>'Financial Statements'!D104</f>
        <v>0</v>
      </c>
    </row>
    <row r="33" spans="1:7" x14ac:dyDescent="0.3">
      <c r="A33" s="20"/>
      <c r="B33" s="1" t="s">
        <v>144</v>
      </c>
      <c r="C33">
        <f>C14-D14</f>
        <v>-12966</v>
      </c>
      <c r="D33">
        <f>D14-E14</f>
        <v>27916</v>
      </c>
      <c r="E33">
        <f>E14-57101</f>
        <v>-65703</v>
      </c>
    </row>
    <row r="34" spans="1:7" x14ac:dyDescent="0.3">
      <c r="A34" s="20"/>
    </row>
    <row r="35" spans="1:7" x14ac:dyDescent="0.3">
      <c r="A35" s="20">
        <f>+A24+1</f>
        <v>4</v>
      </c>
      <c r="B35" s="21" t="s">
        <v>39</v>
      </c>
    </row>
    <row r="36" spans="1:7" x14ac:dyDescent="0.3">
      <c r="A36" s="20">
        <f>+A35+0.1</f>
        <v>4.0999999999999996</v>
      </c>
      <c r="B36" s="1" t="s">
        <v>40</v>
      </c>
      <c r="C36">
        <f>'Financial Statements'!B8/'Financial Statements'!B48</f>
        <v>1.2019614253023865</v>
      </c>
      <c r="D36">
        <f>'Financial Statements'!C8/'Financial Statements'!C48</f>
        <v>1.1171635172120253</v>
      </c>
      <c r="E36">
        <f>'Financial Statements'!D8/'Financial Statements'!D48</f>
        <v>1.1108942562273734</v>
      </c>
    </row>
    <row r="37" spans="1:7" x14ac:dyDescent="0.3">
      <c r="A37" s="20">
        <f t="shared" ref="A37:A39" si="3">+A36+0.1</f>
        <v>4.1999999999999993</v>
      </c>
      <c r="B37" s="1" t="s">
        <v>41</v>
      </c>
      <c r="C37">
        <f>'Financial Statements'!B8/'Financial Statements'!B45</f>
        <v>3.4130523188995174</v>
      </c>
      <c r="D37">
        <f>'Financial Statements'!C8/'Financial Statements'!C45</f>
        <v>2.9312395106094922</v>
      </c>
      <c r="E37">
        <f>'Financial Statements'!D8/'Financial Statements'!D45</f>
        <v>2.7527675869640897</v>
      </c>
    </row>
    <row r="38" spans="1:7" x14ac:dyDescent="0.3">
      <c r="A38" s="20">
        <f t="shared" si="3"/>
        <v>4.2999999999999989</v>
      </c>
      <c r="B38" s="1" t="s">
        <v>42</v>
      </c>
      <c r="C38">
        <f>'Financial Statements'!B12/'Financial Statements'!B39</f>
        <v>9.8048749737339769</v>
      </c>
      <c r="D38">
        <f>'Financial Statements'!C12/'Financial Statements'!C39</f>
        <v>8.3438725490196077</v>
      </c>
      <c r="E38">
        <f>'Financial Statements'!D12/'Financial Statements'!D39</f>
        <v>8.3950297921813686</v>
      </c>
    </row>
    <row r="39" spans="1:7" x14ac:dyDescent="0.3">
      <c r="A39" s="20">
        <f t="shared" si="3"/>
        <v>4.3999999999999986</v>
      </c>
      <c r="B39" s="1" t="s">
        <v>43</v>
      </c>
      <c r="C39">
        <f>'Financial Statements'!B22/'Financial Statements'!B48</f>
        <v>6.6411370040006856E-2</v>
      </c>
      <c r="D39">
        <f>'Financial Statements'!C22/'Financial Statements'!C48</f>
        <v>7.9334393851846041E-2</v>
      </c>
      <c r="E39">
        <f>'Financial Statements'!D22/'Financial Statements'!D48</f>
        <v>-5.8831793375479545E-3</v>
      </c>
    </row>
    <row r="40" spans="1:7" x14ac:dyDescent="0.3">
      <c r="A40" s="20"/>
    </row>
    <row r="41" spans="1:7" x14ac:dyDescent="0.3">
      <c r="A41" s="20">
        <f>+A35+1</f>
        <v>5</v>
      </c>
      <c r="B41" s="21" t="s">
        <v>44</v>
      </c>
    </row>
    <row r="42" spans="1:7" x14ac:dyDescent="0.3">
      <c r="A42" s="20">
        <f>+A41+0.1</f>
        <v>5.0999999999999996</v>
      </c>
      <c r="B42" s="1" t="s">
        <v>45</v>
      </c>
      <c r="C42">
        <f>C55/C43</f>
        <v>62.167464114832541</v>
      </c>
      <c r="D42">
        <f t="shared" ref="D42:E42" si="4">D55/D43</f>
        <v>54.80555555555555</v>
      </c>
      <c r="E42">
        <f t="shared" si="4"/>
        <v>491.4444444444444</v>
      </c>
    </row>
    <row r="43" spans="1:7" x14ac:dyDescent="0.3">
      <c r="A43" s="20">
        <f t="shared" ref="A43:A46" si="5">+A42+0.1</f>
        <v>5.1999999999999993</v>
      </c>
      <c r="B43" s="19" t="s">
        <v>46</v>
      </c>
      <c r="C43">
        <f>'Financial Statements'!B25</f>
        <v>2.09</v>
      </c>
      <c r="D43">
        <f>'Financial Statements'!C25</f>
        <v>3.24</v>
      </c>
      <c r="E43">
        <f>'Financial Statements'!D25</f>
        <v>0.27</v>
      </c>
    </row>
    <row r="44" spans="1:7" x14ac:dyDescent="0.3">
      <c r="A44" s="20">
        <f t="shared" si="5"/>
        <v>5.2999999999999989</v>
      </c>
      <c r="B44" s="1" t="s">
        <v>47</v>
      </c>
      <c r="C44">
        <f>C55*'Financial Statements'!B28/('Financial Statements'!B48-'Financial Statements'!B62)/1000</f>
        <v>8.129293961740924E-3</v>
      </c>
      <c r="D44">
        <f>D55*'Financial Statements'!C28/('Financial Statements'!C48-'Financial Statements'!C62)/1000</f>
        <v>7.9649241305399087E-3</v>
      </c>
      <c r="E44">
        <f>E55*'Financial Statements'!D28/('Financial Statements'!D48-'Financial Statements'!D62)/1000</f>
        <v>5.6301467942631543E-3</v>
      </c>
    </row>
    <row r="45" spans="1:7" x14ac:dyDescent="0.3">
      <c r="A45" s="20">
        <f t="shared" si="5"/>
        <v>5.3999999999999986</v>
      </c>
      <c r="B45" s="19" t="s">
        <v>48</v>
      </c>
      <c r="C45">
        <f>('Financial Statements'!B48-'Financial Statements'!B62)/('Financial Statements'!B28)</f>
        <v>15.982937830947245</v>
      </c>
      <c r="D45">
        <f>('Financial Statements'!C48-'Financial Statements'!C62)/('Financial Statements'!C28)</f>
        <v>22.293997668997669</v>
      </c>
      <c r="E45">
        <f>('Financial Statements'!D48-'Financial Statements'!D62)/('Financial Statements'!D28)</f>
        <v>23.567769162822653</v>
      </c>
      <c r="G45" s="31" t="s">
        <v>163</v>
      </c>
    </row>
    <row r="46" spans="1:7" x14ac:dyDescent="0.3">
      <c r="A46" s="20">
        <f t="shared" si="5"/>
        <v>5.4999999999999982</v>
      </c>
      <c r="B46" s="1" t="s">
        <v>49</v>
      </c>
      <c r="C46">
        <f>-'Financial Statements'!B102/'Financial Statements'!B22</f>
        <v>0</v>
      </c>
      <c r="D46">
        <f>-'Financial Statements'!C102/'Financial Statements'!C22</f>
        <v>0</v>
      </c>
      <c r="E46">
        <f>-'Financial Statements'!D102/'Financial Statements'!D22</f>
        <v>0</v>
      </c>
    </row>
    <row r="47" spans="1:7" x14ac:dyDescent="0.3">
      <c r="A47" s="20"/>
      <c r="B47" s="19" t="s">
        <v>50</v>
      </c>
      <c r="C47">
        <f>-'Financial Statements'!B102/('Financial Statements'!B28/1000)</f>
        <v>0</v>
      </c>
      <c r="D47">
        <f>-'Financial Statements'!C102/('Financial Statements'!C28/1000)</f>
        <v>0</v>
      </c>
      <c r="E47">
        <f>-'Financial Statements'!D102/('Financial Statements'!D28/1000)</f>
        <v>0</v>
      </c>
    </row>
    <row r="48" spans="1:7" x14ac:dyDescent="0.3">
      <c r="A48" s="20">
        <f>+A46+0.1</f>
        <v>5.5999999999999979</v>
      </c>
      <c r="B48" s="1" t="s">
        <v>51</v>
      </c>
      <c r="C48">
        <f>C47/C55</f>
        <v>0</v>
      </c>
      <c r="D48">
        <f t="shared" ref="D48:E48" si="6">D47/D55</f>
        <v>0</v>
      </c>
      <c r="E48">
        <f t="shared" si="6"/>
        <v>0</v>
      </c>
    </row>
    <row r="49" spans="1:7" x14ac:dyDescent="0.3">
      <c r="A49" s="20">
        <f t="shared" ref="A49:A52" si="7">+A47+0.1</f>
        <v>0.1</v>
      </c>
      <c r="B49" s="1" t="s">
        <v>52</v>
      </c>
      <c r="C49" s="28">
        <f>'Financial Statements'!B22/'Financial Statements'!B68</f>
        <v>0.22837351719412444</v>
      </c>
      <c r="D49" s="28">
        <f>'Financial Statements'!C22/'Financial Statements'!C68</f>
        <v>0.2413396506202756</v>
      </c>
      <c r="E49" s="28">
        <f>'Financial Statements'!D22/'Financial Statements'!D68</f>
        <v>-1.8638346240490815E-2</v>
      </c>
    </row>
    <row r="50" spans="1:7" x14ac:dyDescent="0.3">
      <c r="A50" s="20">
        <f t="shared" si="7"/>
        <v>5.6999999999999975</v>
      </c>
      <c r="B50" s="1" t="s">
        <v>53</v>
      </c>
      <c r="C50">
        <f>C21/('Financial Statements'!B68-'Financial Statements'!B55)</f>
        <v>0.24516080681769517</v>
      </c>
      <c r="D50">
        <f>D21/('Financial Statements'!C68-'Financial Statements'!C55)</f>
        <v>0.17996310897319975</v>
      </c>
      <c r="E50">
        <f>E21/('Financial Statements'!D68-'Financial Statements'!D55)</f>
        <v>8.3865710783810249E-2</v>
      </c>
      <c r="G50" t="s">
        <v>162</v>
      </c>
    </row>
    <row r="51" spans="1:7" x14ac:dyDescent="0.3">
      <c r="A51" s="20">
        <f t="shared" si="7"/>
        <v>0.2</v>
      </c>
      <c r="B51" s="1" t="s">
        <v>43</v>
      </c>
      <c r="C51">
        <f>'Financial Statements'!B22/'Financial Statements'!B48</f>
        <v>6.6411370040006856E-2</v>
      </c>
      <c r="D51">
        <f>'Financial Statements'!C22/'Financial Statements'!C48</f>
        <v>7.9334393851846041E-2</v>
      </c>
      <c r="E51">
        <f>'Financial Statements'!D22/'Financial Statements'!D48</f>
        <v>-5.8831793375479545E-3</v>
      </c>
    </row>
    <row r="52" spans="1:7" x14ac:dyDescent="0.3">
      <c r="A52" s="20">
        <f t="shared" si="7"/>
        <v>5.7999999999999972</v>
      </c>
      <c r="B52" s="1" t="s">
        <v>54</v>
      </c>
      <c r="C52">
        <f>C53/C19</f>
        <v>27.344997608103334</v>
      </c>
      <c r="D52">
        <f t="shared" ref="D52:E52" si="8">D53/D19</f>
        <v>31.035620447801456</v>
      </c>
      <c r="E52">
        <f t="shared" si="8"/>
        <v>25.203352655577913</v>
      </c>
    </row>
    <row r="53" spans="1:7" x14ac:dyDescent="0.3">
      <c r="A53" s="20"/>
      <c r="B53" s="19" t="s">
        <v>55</v>
      </c>
      <c r="C53">
        <f>(C55)*('Financial Statements'!B28)+('Financial Statements'!B59)-'Financial Statements'!B36</f>
        <v>1314720.1400000001</v>
      </c>
      <c r="D53">
        <f>(D55)*('Financial Statements'!C28)+('Financial Statements'!C59)-'Financial Statements'!C36</f>
        <v>1840784.72</v>
      </c>
      <c r="E53">
        <f>(E55)*('Financial Statements'!D28)+('Financial Statements'!D59)-'Financial Statements'!D36</f>
        <v>1365240.41</v>
      </c>
      <c r="G53" s="31" t="s">
        <v>163</v>
      </c>
    </row>
    <row r="55" spans="1:7" x14ac:dyDescent="0.3">
      <c r="B55" s="18" t="s">
        <v>145</v>
      </c>
      <c r="C55">
        <v>129.93</v>
      </c>
      <c r="D55">
        <v>177.57</v>
      </c>
      <c r="E55">
        <v>132.69</v>
      </c>
    </row>
    <row r="57" spans="1:7" x14ac:dyDescent="0.3">
      <c r="B57" s="9" t="s">
        <v>146</v>
      </c>
    </row>
    <row r="58" spans="1:7" x14ac:dyDescent="0.3">
      <c r="B58" t="s">
        <v>63</v>
      </c>
      <c r="C58">
        <f>'Financial Statements'!B6/'Financial Statements'!C6-1</f>
        <v>-0.10700327147447963</v>
      </c>
      <c r="D58">
        <f>'Financial Statements'!C6/'Financial Statements'!D6-1</f>
        <v>-4.5862306042379064E-3</v>
      </c>
      <c r="E58">
        <f>'Financial Statements'!C6/'Financial Statements'!D6-1</f>
        <v>-4.5862306042379064E-3</v>
      </c>
    </row>
    <row r="59" spans="1:7" x14ac:dyDescent="0.3">
      <c r="B59" t="s">
        <v>64</v>
      </c>
      <c r="C59">
        <f>'Financial Statements'!B7/'Financial Statements'!C7-1</f>
        <v>-0.25384699717148684</v>
      </c>
      <c r="D59">
        <f>'Financial Statements'!C7/'Financial Statements'!D7-1</f>
        <v>-0.15879696918275654</v>
      </c>
      <c r="E59">
        <f>'Financial Statements'!C7/'Financial Statements'!D7-1</f>
        <v>-0.15879696918275654</v>
      </c>
    </row>
    <row r="60" spans="1:7" x14ac:dyDescent="0.3">
      <c r="B60" t="s">
        <v>147</v>
      </c>
      <c r="C60">
        <f>'Financial Statements'!B8/'Financial Statements'!C8-1</f>
        <v>-0.17827602794249742</v>
      </c>
      <c r="D60">
        <f>'Financial Statements'!C8/'Financial Statements'!D8-1</f>
        <v>-8.5919184097528523E-2</v>
      </c>
      <c r="E60">
        <f>'Financial Statements'!C8/'Financial Statements'!D8-1</f>
        <v>-8.5919184097528523E-2</v>
      </c>
    </row>
    <row r="61" spans="1:7" x14ac:dyDescent="0.3">
      <c r="B61" t="s">
        <v>148</v>
      </c>
      <c r="C61">
        <f>'Financial Statements'!B13/'Financial Statements'!C13-1</f>
        <v>-0.22646066903655093</v>
      </c>
      <c r="D61">
        <f>'Financial Statements'!C13/'Financial Statements'!D13-1</f>
        <v>-0.12291252131893116</v>
      </c>
      <c r="E61">
        <f>'Financial Statements'!C13/'Financial Statements'!D13-1</f>
        <v>-0.12291252131893116</v>
      </c>
    </row>
    <row r="62" spans="1:7" x14ac:dyDescent="0.3">
      <c r="B62" t="s">
        <v>69</v>
      </c>
      <c r="C62" t="e">
        <f>'Financial Statements'!B15/'Financial Statements'!C15-1</f>
        <v>#DIV/0!</v>
      </c>
      <c r="D62" t="e">
        <f>'Financial Statements'!C15/'Financial Statements'!D15-1</f>
        <v>#DIV/0!</v>
      </c>
      <c r="E62" t="e">
        <f>'Financial Statements'!C15/'Financial Statements'!D15-1</f>
        <v>#DIV/0!</v>
      </c>
    </row>
    <row r="63" spans="1:7" x14ac:dyDescent="0.3">
      <c r="B63" t="s">
        <v>70</v>
      </c>
      <c r="C63" t="e">
        <f>'Financial Statements'!B16/'Financial Statements'!C16-1</f>
        <v>#DIV/0!</v>
      </c>
      <c r="D63" t="e">
        <f>'Financial Statements'!C16/'Financial Statements'!D16-1</f>
        <v>#DIV/0!</v>
      </c>
      <c r="E63" t="e">
        <f>'Financial Statements'!C16/'Financial Statements'!D16-1</f>
        <v>#DIV/0!</v>
      </c>
    </row>
    <row r="64" spans="1:7" x14ac:dyDescent="0.3">
      <c r="B64" t="s">
        <v>71</v>
      </c>
      <c r="C64">
        <f>'Financial Statements'!B17/'Financial Statements'!C17-1</f>
        <v>-0.1837943287117676</v>
      </c>
      <c r="D64">
        <f>'Financial Statements'!C17/'Financial Statements'!D17-1</f>
        <v>-0.11319122644423851</v>
      </c>
      <c r="E64">
        <f>'Financial Statements'!C17/'Financial Statements'!D17-1</f>
        <v>-0.11319122644423851</v>
      </c>
    </row>
    <row r="65" spans="2:5" x14ac:dyDescent="0.3">
      <c r="B65" t="s">
        <v>149</v>
      </c>
      <c r="C65">
        <f>'Financial Statements'!B42/'Financial Statements'!C42-1</f>
        <v>-0.17853075875727198</v>
      </c>
      <c r="D65">
        <f>'Financial Statements'!C42/'Financial Statements'!D42-1</f>
        <v>0.10074868350239452</v>
      </c>
      <c r="E65">
        <f>'Financial Statements'!C42/'Financial Statements'!D42-1</f>
        <v>0.10074868350239452</v>
      </c>
    </row>
    <row r="66" spans="2:5" x14ac:dyDescent="0.3">
      <c r="B66" t="s">
        <v>150</v>
      </c>
      <c r="C66">
        <f ca="1">'Financial Statements'!B47/'Financial Statements'!C47-1</f>
        <v>0.17582246180146122</v>
      </c>
      <c r="D66">
        <f ca="1">'Financial Statements'!C47/'Financial Statements'!D47-1</f>
        <v>-0.14157405671745704</v>
      </c>
      <c r="E66" t="e">
        <f ca="1">'Financial Statements'!D47/'Financial Statements'!E47-1</f>
        <v>#DIV/0!</v>
      </c>
    </row>
    <row r="67" spans="2:5" x14ac:dyDescent="0.3">
      <c r="B67" t="s">
        <v>151</v>
      </c>
      <c r="C67">
        <f>'Financial Statements'!B56/'Financial Statements'!C56-1</f>
        <v>-0.11162892047291695</v>
      </c>
      <c r="D67">
        <f>'Financial Statements'!C56/'Financial Statements'!D56-1</f>
        <v>-8.4476134703622474E-2</v>
      </c>
      <c r="E67" t="e">
        <f>'Financial Statements'!D56/'Financial Statements'!E56-1</f>
        <v>#DIV/0!</v>
      </c>
    </row>
    <row r="68" spans="2:5" x14ac:dyDescent="0.3">
      <c r="B68" t="s">
        <v>152</v>
      </c>
      <c r="C68">
        <f>'Financial Statements'!B61/'Financial Statements'!C61-1</f>
        <v>-0.34728376825865748</v>
      </c>
      <c r="D68">
        <f>'Financial Statements'!C61/'Financial Statements'!D61-1</f>
        <v>-0.27410275502606107</v>
      </c>
      <c r="E68" t="e">
        <f>'Financial Statements'!D61/'Financial Statements'!E61-1</f>
        <v>#DIV/0!</v>
      </c>
    </row>
    <row r="69" spans="2:5" x14ac:dyDescent="0.3">
      <c r="B69" t="s">
        <v>110</v>
      </c>
      <c r="C69">
        <f>'Financial Statements'!B68/'Financial Statements'!C68-1</f>
        <v>-0.32435892799016242</v>
      </c>
      <c r="D69">
        <f>'Financial Statements'!C68/'Financial Statements'!D68-1</f>
        <v>-5.3395232910855017E-2</v>
      </c>
      <c r="E69" t="e">
        <f>'Financial Statements'!D68/'Financial Statements'!E68-1</f>
        <v>#DIV/0!</v>
      </c>
    </row>
    <row r="71" spans="2:5" x14ac:dyDescent="0.3">
      <c r="B71" s="9" t="s">
        <v>153</v>
      </c>
    </row>
    <row r="72" spans="2:5" x14ac:dyDescent="0.3">
      <c r="B72" t="s">
        <v>154</v>
      </c>
      <c r="C72">
        <f>'Financial Statements'!B12/'Financial Statements'!B8</f>
        <v>0.60432208131294296</v>
      </c>
      <c r="D72">
        <f>'Financial Statements'!C12/'Financial Statements'!C8</f>
        <v>0.57967485558360399</v>
      </c>
      <c r="E72">
        <f>'Financial Statements'!D12/'Financial Statements'!D8</f>
        <v>0.56194660134673713</v>
      </c>
    </row>
    <row r="73" spans="2:5" x14ac:dyDescent="0.3">
      <c r="B73" t="s">
        <v>148</v>
      </c>
      <c r="C73">
        <f>'Financial Statements'!B13/'Financial Statements'!B8</f>
        <v>0.3956779186870571</v>
      </c>
      <c r="D73">
        <f>'Financial Statements'!C13/'Financial Statements'!C8</f>
        <v>0.42032514441639601</v>
      </c>
      <c r="E73">
        <f>'Financial Statements'!D13/'Financial Statements'!D8</f>
        <v>0.43805339865326287</v>
      </c>
    </row>
    <row r="74" spans="2:5" x14ac:dyDescent="0.3">
      <c r="B74" t="s">
        <v>69</v>
      </c>
      <c r="C74">
        <f>'Financial Statements'!B15/'Financial Statements'!B8</f>
        <v>0</v>
      </c>
      <c r="D74">
        <f>'Financial Statements'!C15/'Financial Statements'!C8</f>
        <v>0</v>
      </c>
      <c r="E74">
        <f>'Financial Statements'!D15/'Financial Statements'!D8</f>
        <v>0</v>
      </c>
    </row>
    <row r="75" spans="2:5" x14ac:dyDescent="0.3">
      <c r="B75" t="s">
        <v>70</v>
      </c>
      <c r="C75">
        <f>'Financial Statements'!B16/'Financial Statements'!B8</f>
        <v>0</v>
      </c>
      <c r="D75">
        <f>'Financial Statements'!C16/'Financial Statements'!C8</f>
        <v>0</v>
      </c>
      <c r="E75">
        <f>'Financial Statements'!D16/'Financial Statements'!D8</f>
        <v>0</v>
      </c>
    </row>
    <row r="76" spans="2:5" x14ac:dyDescent="0.3">
      <c r="B76" t="s">
        <v>72</v>
      </c>
      <c r="C76">
        <f>'Financial Statements'!B18/'Financial Statements'!B8</f>
        <v>5.9313999751336569E-2</v>
      </c>
      <c r="D76">
        <f>'Financial Statements'!C18/'Financial Statements'!C8</f>
        <v>5.2954097509269465E-2</v>
      </c>
      <c r="E76">
        <f>'Financial Statements'!D18/'Financial Statements'!D8</f>
        <v>2.3829581912242232E-2</v>
      </c>
    </row>
    <row r="77" spans="2:5" x14ac:dyDescent="0.3">
      <c r="B77" t="s">
        <v>155</v>
      </c>
      <c r="C77">
        <f>'Financial Statements'!B22/'Financial Statements'!B8</f>
        <v>5.5252496995316841E-2</v>
      </c>
      <c r="D77">
        <f>'Financial Statements'!C22/'Financial Statements'!C8</f>
        <v>7.1014128755145567E-2</v>
      </c>
      <c r="E77">
        <f>'Financial Statements'!D22/'Financial Statements'!D8</f>
        <v>-5.2958950004183018E-3</v>
      </c>
    </row>
    <row r="78" spans="2:5" x14ac:dyDescent="0.3">
      <c r="B78" t="s">
        <v>156</v>
      </c>
      <c r="C78">
        <f>'Financial Statements'!B21/'Financial Statements'!B20</f>
        <v>0.1184134337000579</v>
      </c>
      <c r="D78">
        <f>'Financial Statements'!C21/'Financial Statements'!C20</f>
        <v>0.12557993237398757</v>
      </c>
      <c r="E78">
        <f>'Financial Statements'!D21/'Financial Statements'!D20</f>
        <v>-0.54194743935309975</v>
      </c>
    </row>
    <row r="79" spans="2:5" x14ac:dyDescent="0.3">
      <c r="B79" t="s">
        <v>157</v>
      </c>
      <c r="C79">
        <f>-'Financial Statements'!B96/'Financial Statements'!B8</f>
        <v>0.10397239835882134</v>
      </c>
      <c r="D79">
        <f>-'Financial Statements'!C96/'Financial Statements'!C8</f>
        <v>0.12994921480901278</v>
      </c>
      <c r="E79">
        <f>-'Financial Statements'!D96/'Financial Statements'!D8</f>
        <v>0.12382705264571008</v>
      </c>
    </row>
    <row r="80" spans="2:5" x14ac:dyDescent="0.3">
      <c r="B80" t="s">
        <v>158</v>
      </c>
      <c r="C80">
        <f>-'Financial Statements'!B96/'Financial Statements'!B45</f>
        <v>0.35486323532011954</v>
      </c>
      <c r="D80">
        <f>-'Financial Statements'!C96/'Financial Statements'!C45</f>
        <v>0.38091227282085838</v>
      </c>
      <c r="E80">
        <f>-'Financial Statements'!D96/'Financial Statements'!D45</f>
        <v>0.34086709691240663</v>
      </c>
    </row>
    <row r="81" spans="2:5" x14ac:dyDescent="0.3">
      <c r="B81" t="s">
        <v>164</v>
      </c>
      <c r="C81">
        <f>'Financial Statements'!B13+'Financial Statements'!B79</f>
        <v>177937</v>
      </c>
      <c r="D81">
        <f>'Financial Statements'!C13+'Financial Statements'!C79</f>
        <v>231911</v>
      </c>
      <c r="E81">
        <f>'Financial Statements'!D13+'Financial Statements'!D79</f>
        <v>267073</v>
      </c>
    </row>
  </sheetData>
  <pageMargins left="0.7" right="0.7" top="0.75" bottom="0.75" header="0.3" footer="0.3"/>
  <legacyDrawing r:id="rId1"/>
</worksheet>
</file>

<file path=docMetadata/LabelInfo.xml><?xml version="1.0" encoding="utf-8"?>
<clbl:labelList xmlns:clbl="http://schemas.microsoft.com/office/2020/mipLabelMetadata">
  <clbl:label id="{377e3d22-4ea1-422d-b0ad-8fcc89406b9e}" enabled="0" method="" siteId="{377e3d22-4ea1-422d-b0ad-8fcc89406b9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Kareem</cp:lastModifiedBy>
  <dcterms:created xsi:type="dcterms:W3CDTF">2020-05-19T16:15:53Z</dcterms:created>
  <dcterms:modified xsi:type="dcterms:W3CDTF">2023-07-30T11:49:57Z</dcterms:modified>
</cp:coreProperties>
</file>