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utingservices-my.sharepoint.com/personal/kz450_bath_ac_uk/Documents/Desktop/QuillCapital/Level 1/Task 1/"/>
    </mc:Choice>
  </mc:AlternateContent>
  <xr:revisionPtr revIDLastSave="42" documentId="11_74FCE20701F02E337AAB3E03765083E6112D5F1C" xr6:coauthVersionLast="47" xr6:coauthVersionMax="47" xr10:uidLastSave="{79B07890-746C-4274-8BD5-01AE6CACD7BC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3" l="1"/>
  <c r="E53" i="3"/>
  <c r="C53" i="3"/>
  <c r="D50" i="3"/>
  <c r="E50" i="3"/>
  <c r="C50" i="3"/>
  <c r="D45" i="3"/>
  <c r="E45" i="3"/>
  <c r="C45" i="3"/>
  <c r="D32" i="3"/>
  <c r="E32" i="3"/>
  <c r="C32" i="3"/>
  <c r="D29" i="3"/>
  <c r="E29" i="3"/>
  <c r="C29" i="3"/>
  <c r="C19" i="3"/>
  <c r="D27" i="3"/>
  <c r="E27" i="3"/>
  <c r="C27" i="3"/>
  <c r="D26" i="3"/>
  <c r="E26" i="3"/>
  <c r="C26" i="3"/>
  <c r="D25" i="3"/>
  <c r="E25" i="3"/>
  <c r="C25" i="3"/>
  <c r="D21" i="3"/>
  <c r="E21" i="3"/>
  <c r="C21" i="3"/>
  <c r="D19" i="3"/>
  <c r="E19" i="3"/>
  <c r="E8" i="3"/>
  <c r="D8" i="3"/>
  <c r="C8" i="3"/>
  <c r="D6" i="3"/>
  <c r="E6" i="3"/>
  <c r="C6" i="3"/>
  <c r="D80" i="3" l="1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47" i="3"/>
  <c r="D48" i="3" s="1"/>
  <c r="E47" i="3"/>
  <c r="E48" i="3" s="1"/>
  <c r="C47" i="3"/>
  <c r="C48" i="3" s="1"/>
  <c r="D43" i="3"/>
  <c r="D42" i="3" s="1"/>
  <c r="E43" i="3"/>
  <c r="E42" i="3" s="1"/>
  <c r="C43" i="3"/>
  <c r="C42" i="3" s="1"/>
  <c r="E91" i="1"/>
  <c r="E68" i="1"/>
  <c r="E61" i="1"/>
  <c r="E56" i="1"/>
  <c r="E47" i="1"/>
  <c r="E48" i="1" s="1"/>
  <c r="E42" i="1"/>
  <c r="E17" i="1"/>
  <c r="E12" i="1"/>
  <c r="E8" i="1"/>
  <c r="E13" i="1" l="1"/>
  <c r="E18" i="1" s="1"/>
  <c r="E20" i="1" s="1"/>
  <c r="E22" i="1" s="1"/>
  <c r="E62" i="1"/>
  <c r="E69" i="1" s="1"/>
  <c r="D108" i="1" l="1"/>
  <c r="C108" i="1"/>
  <c r="B108" i="1"/>
  <c r="D99" i="1"/>
  <c r="C99" i="1"/>
  <c r="B99" i="1"/>
  <c r="D68" i="1" l="1"/>
  <c r="C68" i="1"/>
  <c r="B68" i="1"/>
  <c r="D61" i="1"/>
  <c r="E68" i="3" s="1"/>
  <c r="C61" i="1"/>
  <c r="D68" i="3" s="1"/>
  <c r="B61" i="1"/>
  <c r="C68" i="3" s="1"/>
  <c r="D56" i="1"/>
  <c r="C56" i="1"/>
  <c r="B56" i="1"/>
  <c r="B48" i="1"/>
  <c r="D47" i="1"/>
  <c r="E66" i="3" s="1"/>
  <c r="C47" i="1"/>
  <c r="D66" i="3" s="1"/>
  <c r="B47" i="1"/>
  <c r="D42" i="1"/>
  <c r="C42" i="1"/>
  <c r="B42" i="1"/>
  <c r="D17" i="1"/>
  <c r="E64" i="3" s="1"/>
  <c r="C17" i="1"/>
  <c r="D64" i="3" s="1"/>
  <c r="B17" i="1"/>
  <c r="C64" i="3" s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C13" i="1" l="1"/>
  <c r="D74" i="3"/>
  <c r="D60" i="3"/>
  <c r="D37" i="3"/>
  <c r="D75" i="3"/>
  <c r="D11" i="3"/>
  <c r="D79" i="3"/>
  <c r="C44" i="3"/>
  <c r="D10" i="3"/>
  <c r="D9" i="3"/>
  <c r="D72" i="3"/>
  <c r="D38" i="3"/>
  <c r="E7" i="3"/>
  <c r="E67" i="3"/>
  <c r="E9" i="3"/>
  <c r="E38" i="3"/>
  <c r="E10" i="3"/>
  <c r="E72" i="3"/>
  <c r="D65" i="3"/>
  <c r="D14" i="3"/>
  <c r="D5" i="3"/>
  <c r="C69" i="3"/>
  <c r="D13" i="1"/>
  <c r="E79" i="3"/>
  <c r="E75" i="3"/>
  <c r="E74" i="3"/>
  <c r="E60" i="3"/>
  <c r="E11" i="3"/>
  <c r="E37" i="3"/>
  <c r="D67" i="3"/>
  <c r="D7" i="3"/>
  <c r="E65" i="3"/>
  <c r="E14" i="3"/>
  <c r="E5" i="3"/>
  <c r="D69" i="3"/>
  <c r="C9" i="3"/>
  <c r="C10" i="3"/>
  <c r="C38" i="3"/>
  <c r="C72" i="3"/>
  <c r="B62" i="1"/>
  <c r="C67" i="3"/>
  <c r="C7" i="3"/>
  <c r="C65" i="3"/>
  <c r="C14" i="3"/>
  <c r="C5" i="3"/>
  <c r="B13" i="1"/>
  <c r="C79" i="3"/>
  <c r="C75" i="3"/>
  <c r="C74" i="3"/>
  <c r="C60" i="3"/>
  <c r="C11" i="3"/>
  <c r="C37" i="3"/>
  <c r="C36" i="3"/>
  <c r="C66" i="3"/>
  <c r="E69" i="3"/>
  <c r="C62" i="1"/>
  <c r="C69" i="1" s="1"/>
  <c r="C48" i="1"/>
  <c r="D36" i="3" s="1"/>
  <c r="D62" i="1"/>
  <c r="D69" i="1" s="1"/>
  <c r="D48" i="1"/>
  <c r="B69" i="1"/>
  <c r="A49" i="3"/>
  <c r="A51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C12" i="3" l="1"/>
  <c r="C61" i="3"/>
  <c r="C17" i="3"/>
  <c r="C73" i="3"/>
  <c r="C13" i="3"/>
  <c r="C33" i="3"/>
  <c r="E12" i="3"/>
  <c r="E13" i="3"/>
  <c r="E33" i="3"/>
  <c r="D44" i="3"/>
  <c r="D18" i="1"/>
  <c r="E61" i="3"/>
  <c r="E73" i="3"/>
  <c r="E17" i="3"/>
  <c r="E44" i="3"/>
  <c r="B18" i="1"/>
  <c r="E36" i="3"/>
  <c r="D13" i="3"/>
  <c r="D33" i="3"/>
  <c r="D12" i="3"/>
  <c r="C18" i="1"/>
  <c r="D73" i="3"/>
  <c r="D61" i="3"/>
  <c r="D17" i="3"/>
  <c r="A24" i="3"/>
  <c r="A25" i="3" s="1"/>
  <c r="A26" i="3" s="1"/>
  <c r="A27" i="3" s="1"/>
  <c r="A28" i="3" s="1"/>
  <c r="A29" i="3" s="1"/>
  <c r="A30" i="3" s="1"/>
  <c r="D20" i="1" l="1"/>
  <c r="E76" i="3"/>
  <c r="C20" i="1"/>
  <c r="D76" i="3"/>
  <c r="B20" i="1"/>
  <c r="C76" i="3"/>
  <c r="A35" i="3"/>
  <c r="A41" i="3" s="1"/>
  <c r="A42" i="3" s="1"/>
  <c r="A43" i="3" s="1"/>
  <c r="A44" i="3" s="1"/>
  <c r="A45" i="3" s="1"/>
  <c r="A46" i="3" s="1"/>
  <c r="A48" i="3" s="1"/>
  <c r="A50" i="3" s="1"/>
  <c r="A52" i="3" s="1"/>
  <c r="B22" i="1" l="1"/>
  <c r="C78" i="3"/>
  <c r="C28" i="3"/>
  <c r="C22" i="1"/>
  <c r="D78" i="3"/>
  <c r="D28" i="3"/>
  <c r="D22" i="1"/>
  <c r="E78" i="3"/>
  <c r="E28" i="3"/>
  <c r="A36" i="3"/>
  <c r="A37" i="3" s="1"/>
  <c r="A38" i="3" s="1"/>
  <c r="A39" i="3" s="1"/>
  <c r="D76" i="1" l="1"/>
  <c r="D91" i="1" s="1"/>
  <c r="D109" i="1" s="1"/>
  <c r="E46" i="3"/>
  <c r="E31" i="3"/>
  <c r="E30" i="3" s="1"/>
  <c r="E51" i="3"/>
  <c r="E77" i="3"/>
  <c r="E49" i="3"/>
  <c r="E39" i="3"/>
  <c r="E22" i="3"/>
  <c r="D20" i="3"/>
  <c r="C20" i="3"/>
  <c r="C76" i="1"/>
  <c r="C91" i="1" s="1"/>
  <c r="C109" i="1" s="1"/>
  <c r="D51" i="3"/>
  <c r="D31" i="3"/>
  <c r="D30" i="3" s="1"/>
  <c r="D77" i="3"/>
  <c r="D49" i="3"/>
  <c r="D46" i="3"/>
  <c r="D22" i="3"/>
  <c r="D39" i="3"/>
  <c r="E18" i="3"/>
  <c r="E52" i="3"/>
  <c r="D18" i="3"/>
  <c r="D52" i="3"/>
  <c r="C18" i="3"/>
  <c r="C52" i="3"/>
  <c r="E20" i="3"/>
  <c r="B76" i="1"/>
  <c r="B91" i="1" s="1"/>
  <c r="B109" i="1" s="1"/>
  <c r="C46" i="3"/>
  <c r="C39" i="3"/>
  <c r="C51" i="3"/>
  <c r="C31" i="3"/>
  <c r="C30" i="3" s="1"/>
  <c r="C77" i="3"/>
  <c r="C49" i="3"/>
  <c r="C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Kareem Zeido</author>
    <author>tc={4ED2294C-40FD-4403-8733-A03C0B0725F4}</author>
  </authors>
  <commentList>
    <comment ref="G8" authorId="0" shapeId="0" xr:uid="{B5B52A09-05A5-42C0-B846-3927AEE2015A}">
      <text>
        <r>
          <rPr>
            <b/>
            <sz val="9"/>
            <color indexed="81"/>
            <rFont val="Tahoma"/>
            <charset val="1"/>
          </rPr>
          <t>Kareem Zeido:</t>
        </r>
        <r>
          <rPr>
            <sz val="9"/>
            <color indexed="81"/>
            <rFont val="Tahoma"/>
            <charset val="1"/>
          </rPr>
          <t xml:space="preserve">
Could not find Noncash charges
</t>
        </r>
      </text>
    </comment>
    <comment ref="G28" authorId="1" shapeId="0" xr:uid="{4ED2294C-40FD-4403-8733-A03C0B0725F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Unsure what you mean
</t>
      </text>
    </comment>
  </commentList>
</comments>
</file>

<file path=xl/sharedStrings.xml><?xml version="1.0" encoding="utf-8"?>
<sst xmlns="http://schemas.openxmlformats.org/spreadsheetml/2006/main" count="215" uniqueCount="174">
  <si>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</si>
  <si>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</si>
  <si>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</si>
  <si>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</si>
  <si>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</si>
  <si>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</si>
  <si>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</si>
  <si>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</si>
  <si>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</si>
  <si>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</si>
  <si>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</si>
  <si>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</si>
  <si>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</si>
  <si>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</si>
  <si>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</si>
  <si>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</si>
  <si>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</si>
  <si>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</si>
  <si>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</si>
  <si>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</si>
  <si>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</si>
  <si>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</si>
  <si>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</si>
  <si>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</si>
  <si>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</si>
  <si>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</si>
  <si>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</si>
  <si>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</si>
  <si>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</si>
  <si>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</si>
  <si>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</si>
  <si>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</si>
  <si>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</si>
  <si>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</si>
  <si>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</si>
  <si>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</si>
  <si>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</si>
  <si>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</si>
  <si>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</si>
  <si>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</si>
  <si>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</si>
  <si>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</si>
  <si>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</si>
  <si>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</si>
  <si>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</si>
  <si>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</si>
  <si>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</si>
  <si>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</si>
  <si>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</si>
  <si>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</si>
  <si>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</si>
  <si>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</si>
  <si>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</si>
  <si>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</si>
  <si>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</si>
  <si>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</si>
  <si>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</si>
  <si>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</si>
  <si>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</si>
  <si>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</si>
  <si>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</si>
  <si>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</si>
  <si>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</si>
  <si>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</si>
  <si>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</si>
  <si>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</si>
  <si>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</si>
  <si>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</si>
  <si>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</si>
  <si>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</si>
  <si>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</si>
  <si>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</si>
  <si>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</si>
  <si>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</si>
  <si>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</si>
  <si>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</si>
  <si>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</si>
  <si>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</si>
  <si>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</si>
  <si>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</si>
  <si>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</si>
  <si>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</si>
  <si>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</si>
  <si>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</si>
  <si>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</si>
  <si>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</si>
  <si>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</si>
  <si>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</si>
  <si>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</si>
  <si>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</si>
  <si>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</si>
  <si>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</si>
  <si>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</si>
  <si>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</si>
  <si>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</si>
  <si>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</si>
  <si>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</si>
  <si>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</si>
  <si>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</si>
  <si>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</si>
  <si>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</si>
  <si>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</si>
  <si>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</si>
  <si>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</si>
  <si>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</si>
  <si>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</si>
  <si>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</si>
  <si>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</si>
  <si>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</si>
  <si>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</si>
  <si>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</si>
  <si>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</si>
  <si>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</si>
  <si>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</si>
  <si>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</si>
  <si>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</si>
  <si>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</si>
  <si>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</si>
  <si>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</si>
  <si>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</si>
  <si>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</si>
  <si>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</si>
  <si>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</si>
  <si>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</si>
  <si>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</si>
  <si>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</si>
  <si>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</si>
  <si>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</si>
  <si>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</si>
  <si>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</si>
  <si>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</si>
  <si>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</si>
  <si>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</si>
  <si>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</si>
  <si>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</si>
  <si>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</si>
  <si>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</si>
  <si>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</si>
  <si>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</si>
  <si>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</si>
  <si>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</si>
  <si>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</si>
  <si>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</si>
  <si>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</si>
  <si>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</si>
  <si>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</si>
  <si>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</si>
  <si>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</si>
  <si>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</si>
  <si>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</si>
  <si>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</si>
  <si>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</si>
  <si>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</si>
  <si>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</si>
  <si>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</si>
  <si>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</si>
  <si>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</si>
  <si>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</si>
  <si>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</si>
  <si>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</si>
  <si>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</si>
  <si>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</si>
  <si>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</si>
  <si>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</si>
  <si>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Term Debt/(Term Debt + Total Equity)</t>
  </si>
  <si>
    <t>Change Operating Income</t>
  </si>
  <si>
    <t>Net Operating Income/ (Interest + Debt repayment)</t>
  </si>
  <si>
    <t>Source changes in working capital from cash flow statement</t>
  </si>
  <si>
    <t>Net debt issued should be taken from cash flow statement</t>
  </si>
  <si>
    <t>Cash flow from operations can be taken from cash flow statement</t>
  </si>
  <si>
    <t>Use bracket for denominator i.e. ('Financial Statements'!D28/1000)</t>
  </si>
  <si>
    <t>Use only Shareholder equity and Term debt for capital employed. Other items are not actual capital</t>
  </si>
  <si>
    <t>Include only long term debt, short term portion of debt and commercial papers are not actual capital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</si>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</sst>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eem Zeido" id="{BA2D3274-BFEC-4DB1-B3A8-45AA0C718438}" userId="S::kz450@bath.ac.uk::f03f244a-26fc-47fc-8f13-cbbd58de1c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8" dT="2023-07-14T09:22:51.04" personId="{BA2D3274-BFEC-4DB1-B3A8-45AA0C718438}" id="{4ED2294C-40FD-4403-8733-A03C0B0725F4}">
    <text xml:space="preserve">Unsure what you mean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6" sqref="A6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0" zoomScale="81" workbookViewId="0">
      <selection activeCell="B68" sqref="B68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3">
      <c r="A31" s="27" t="s">
        <v>24</v>
      </c>
      <c r="B31" s="27"/>
      <c r="C31" s="27"/>
      <c r="D31" s="27"/>
    </row>
    <row r="32" spans="1:5" x14ac:dyDescent="0.3">
      <c r="B32" s="26" t="s">
        <v>142</v>
      </c>
      <c r="C32" s="26"/>
      <c r="D32" s="26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5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" thickTop="1" x14ac:dyDescent="0.3"/>
    <row r="71" spans="1:5" x14ac:dyDescent="0.3">
      <c r="A71" s="27" t="s">
        <v>55</v>
      </c>
      <c r="B71" s="27"/>
      <c r="C71" s="27"/>
      <c r="D71" s="27"/>
    </row>
    <row r="72" spans="1:5" x14ac:dyDescent="0.3">
      <c r="B72" s="26" t="s">
        <v>23</v>
      </c>
      <c r="C72" s="26"/>
      <c r="D72" s="26"/>
    </row>
    <row r="73" spans="1:5" x14ac:dyDescent="0.3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3">
      <c r="A75" s="7" t="s">
        <v>56</v>
      </c>
      <c r="B75" s="15"/>
      <c r="C75" s="15"/>
      <c r="D75" s="15"/>
    </row>
    <row r="76" spans="1:5" x14ac:dyDescent="0.3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3">
      <c r="A77" s="11" t="s">
        <v>18</v>
      </c>
      <c r="B77" s="15"/>
      <c r="C77" s="15"/>
      <c r="D77" s="15"/>
    </row>
    <row r="78" spans="1:5" x14ac:dyDescent="0.3">
      <c r="A78" s="1" t="s">
        <v>58</v>
      </c>
      <c r="B78" s="12"/>
      <c r="C78" s="12"/>
      <c r="D78" s="12"/>
    </row>
    <row r="79" spans="1:5" x14ac:dyDescent="0.3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3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3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3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3">
      <c r="A83" t="s">
        <v>62</v>
      </c>
      <c r="B83" s="12"/>
      <c r="C83" s="12"/>
      <c r="D83" s="12"/>
    </row>
    <row r="84" spans="1:5" x14ac:dyDescent="0.3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3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3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3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3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3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3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3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3">
      <c r="A92" s="7" t="s">
        <v>64</v>
      </c>
      <c r="B92" s="12"/>
      <c r="C92" s="12"/>
      <c r="D92" s="12"/>
    </row>
    <row r="93" spans="1:5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3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3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3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0"/>
  <sheetViews>
    <sheetView tabSelected="1" topLeftCell="A19" zoomScale="90" zoomScaleNormal="90" workbookViewId="0">
      <selection activeCell="G40" sqref="G40"/>
    </sheetView>
  </sheetViews>
  <sheetFormatPr defaultRowHeight="14.4" x14ac:dyDescent="0.3"/>
  <cols>
    <col min="1" max="1" width="4.6640625" customWidth="1"/>
    <col min="2" max="2" width="44.88671875" customWidth="1"/>
    <col min="3" max="5" width="16.44140625" bestFit="1" customWidth="1"/>
    <col min="7" max="7" width="34.664062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/>
      <c r="G1" s="25" t="s">
        <v>173</v>
      </c>
      <c r="H1" s="19"/>
      <c r="I1" s="19"/>
      <c r="J1" s="19"/>
    </row>
    <row r="2" spans="1:10" x14ac:dyDescent="0.3">
      <c r="C2" s="26" t="s">
        <v>23</v>
      </c>
      <c r="D2" s="26"/>
      <c r="E2" s="26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Statements'!B39-'Financial Statements'!B40-'Financial Statements'!B41)/'Financial Statements'!B56</f>
        <v>0.49673338442155579</v>
      </c>
      <c r="D6" s="24">
        <f>('Financial Statements'!C42-'Financial Statements'!C39-'Financial Statements'!C40-'Financial Statements'!C41)/'Financial Statements'!C56</f>
        <v>0.70860927152317876</v>
      </c>
      <c r="E6" s="24">
        <f>('Financial Statements'!D42-'Financial Statements'!D39-'Financial Statements'!D40-'Financial Statements'!D41)/'Financial Statements'!D56</f>
        <v>1.0158550933657204</v>
      </c>
      <c r="G6" t="s">
        <v>160</v>
      </c>
    </row>
    <row r="7" spans="1:10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24">
        <f>'Financial Statements'!B42/('Financial Statements'!B76/365)</f>
        <v>495.20380148893315</v>
      </c>
      <c r="D8" s="24">
        <f>'Financial Statements'!C42/('Financial Statements'!C76/365)</f>
        <v>519.805027460921</v>
      </c>
      <c r="E8" s="24">
        <f>'Financial Statements'!D42/('Financial Statements'!D76/365)</f>
        <v>913.67934716343552</v>
      </c>
      <c r="G8" t="s">
        <v>161</v>
      </c>
    </row>
    <row r="9" spans="1:10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</row>
    <row r="10" spans="1:10" x14ac:dyDescent="0.3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</row>
    <row r="11" spans="1:10" x14ac:dyDescent="0.3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</row>
    <row r="12" spans="1:10" x14ac:dyDescent="0.3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</row>
    <row r="13" spans="1:10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</row>
    <row r="14" spans="1:10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7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7" x14ac:dyDescent="0.3">
      <c r="A18" s="18">
        <f>+A17+0.1</f>
        <v>2.2000000000000002</v>
      </c>
      <c r="B18" s="1" t="s">
        <v>111</v>
      </c>
      <c r="C18" s="23">
        <f>C19/'Financial Statements'!B8</f>
        <v>0.3310467428130896</v>
      </c>
      <c r="D18" s="23">
        <f>D19/'Financial Statements'!C8</f>
        <v>0.32866979938056462</v>
      </c>
      <c r="E18" s="23">
        <f>E19/'Financial Statements'!D8</f>
        <v>0.2817478097736007</v>
      </c>
    </row>
    <row r="19" spans="1:7" x14ac:dyDescent="0.3">
      <c r="A19" s="18"/>
      <c r="B19" s="3" t="s">
        <v>112</v>
      </c>
      <c r="C19" s="24">
        <f>'Financial Statements'!B18+'Financial Statements'!B79</f>
        <v>130541</v>
      </c>
      <c r="D19" s="24">
        <f>'Financial Statements'!C18+'Financial Statements'!C79</f>
        <v>120233</v>
      </c>
      <c r="E19" s="24">
        <f>'Financial Statements'!D18+'Financial Statements'!D79</f>
        <v>77344</v>
      </c>
      <c r="G19" t="s">
        <v>162</v>
      </c>
    </row>
    <row r="20" spans="1:7" x14ac:dyDescent="0.3">
      <c r="A20" s="18">
        <f>+A18+0.1</f>
        <v>2.3000000000000003</v>
      </c>
      <c r="B20" s="1" t="s">
        <v>113</v>
      </c>
      <c r="C20" s="23">
        <f>C21/'Financial Statements'!B8</f>
        <v>0.30288744395528594</v>
      </c>
      <c r="D20" s="23">
        <f>D21/'Financial Statements'!C8</f>
        <v>0.29782377527561593</v>
      </c>
      <c r="E20" s="23">
        <f>E21/'Financial Statements'!D8</f>
        <v>0.24147314354406862</v>
      </c>
    </row>
    <row r="21" spans="1:7" x14ac:dyDescent="0.3">
      <c r="A21" s="18"/>
      <c r="B21" s="3" t="s">
        <v>114</v>
      </c>
      <c r="C21" s="24">
        <f>'Financial Statements'!B18</f>
        <v>119437</v>
      </c>
      <c r="D21" s="24">
        <f>'Financial Statements'!C18</f>
        <v>108949</v>
      </c>
      <c r="E21" s="24">
        <f>'Financial Statements'!D18</f>
        <v>66288</v>
      </c>
      <c r="G21" t="s">
        <v>163</v>
      </c>
    </row>
    <row r="22" spans="1:7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7" x14ac:dyDescent="0.3">
      <c r="A23" s="18"/>
    </row>
    <row r="24" spans="1:7" x14ac:dyDescent="0.3">
      <c r="A24" s="18">
        <f>+A16+1</f>
        <v>3</v>
      </c>
      <c r="B24" s="7" t="s">
        <v>116</v>
      </c>
    </row>
    <row r="25" spans="1:7" x14ac:dyDescent="0.3">
      <c r="A25" s="18">
        <f>+A24+0.1</f>
        <v>3.1</v>
      </c>
      <c r="B25" s="1" t="s">
        <v>117</v>
      </c>
      <c r="C25" s="24">
        <f>('Financial Statements'!B59)/'Financial Statements'!B68</f>
        <v>1.9529325860435744</v>
      </c>
      <c r="D25" s="24">
        <f>('Financial Statements'!C59)/'Financial Statements'!C68</f>
        <v>1.729370740212395</v>
      </c>
      <c r="E25" s="24">
        <f>('Financial Statements'!D59)/'Financial Statements'!D68</f>
        <v>1.5100782075024104</v>
      </c>
      <c r="G25" t="s">
        <v>172</v>
      </c>
    </row>
    <row r="26" spans="1:7" x14ac:dyDescent="0.3">
      <c r="A26" s="18">
        <f t="shared" ref="A26:A30" si="2">+A25+0.1</f>
        <v>3.2</v>
      </c>
      <c r="B26" s="1" t="s">
        <v>118</v>
      </c>
      <c r="C26" s="24">
        <f>('Financial Statements'!B59)/'Financial Statements'!B48</f>
        <v>0.28053181386514719</v>
      </c>
      <c r="D26" s="24">
        <f>('Financial Statements'!C59)/'Financial Statements'!C48</f>
        <v>0.31084153366647482</v>
      </c>
      <c r="E26" s="24">
        <f>('Financial Statements'!D59)/'Financial Statements'!D48</f>
        <v>0.30463308304105124</v>
      </c>
      <c r="G26" t="s">
        <v>172</v>
      </c>
    </row>
    <row r="27" spans="1:7" x14ac:dyDescent="0.3">
      <c r="A27" s="18">
        <f t="shared" si="2"/>
        <v>3.3000000000000003</v>
      </c>
      <c r="B27" s="1" t="s">
        <v>119</v>
      </c>
      <c r="C27" s="24">
        <f>'Financial Statements'!B55/('Financial Statements'!B55+'Financial Statements'!B68)</f>
        <v>0.18006472491909384</v>
      </c>
      <c r="D27" s="24">
        <f>'Financial Statements'!C55/('Financial Statements'!C55+'Financial Statements'!C68)</f>
        <v>0.13222287938599508</v>
      </c>
      <c r="E27" s="24">
        <f>'Financial Statements'!D55/('Financial Statements'!D55+'Financial Statements'!D68)</f>
        <v>0.1183748920552677</v>
      </c>
      <c r="G27" t="s">
        <v>164</v>
      </c>
    </row>
    <row r="28" spans="1:7" x14ac:dyDescent="0.3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G28" t="s">
        <v>165</v>
      </c>
    </row>
    <row r="29" spans="1:7" x14ac:dyDescent="0.3">
      <c r="A29" s="18">
        <f t="shared" si="2"/>
        <v>3.5000000000000004</v>
      </c>
      <c r="B29" s="1" t="s">
        <v>121</v>
      </c>
      <c r="C29" s="24">
        <f>'Financial Statements'!B18/'Financial Statements'!B105</f>
        <v>-12.515665933144714</v>
      </c>
      <c r="D29" s="24">
        <f>'Financial Statements'!C18/'Financial Statements'!C105</f>
        <v>-12.451314285714286</v>
      </c>
      <c r="E29" s="24">
        <f>'Financial Statements'!D18/'Financial Statements'!D105</f>
        <v>-5.248871644627445</v>
      </c>
      <c r="G29" t="s">
        <v>166</v>
      </c>
    </row>
    <row r="30" spans="1:7" x14ac:dyDescent="0.3">
      <c r="A30" s="18">
        <f t="shared" si="2"/>
        <v>3.6000000000000005</v>
      </c>
      <c r="B30" s="1" t="s">
        <v>122</v>
      </c>
      <c r="C30" s="24">
        <f>C31/'Financial Statements'!B28*1000</f>
        <v>9.4948988470348716</v>
      </c>
      <c r="D30" s="24">
        <f>D31/'Financial Statements'!C28*1000</f>
        <v>9.8671093528525091</v>
      </c>
      <c r="E30" s="24">
        <f>E31/'Financial Statements'!D28*1000</f>
        <v>6.3125085077121952</v>
      </c>
    </row>
    <row r="31" spans="1:7" x14ac:dyDescent="0.3">
      <c r="A31" s="18"/>
      <c r="B31" s="3" t="s">
        <v>123</v>
      </c>
      <c r="C31" s="24">
        <f>'Financial Statements'!B22+'Financial Statements'!B79-'List of Ratios'!C33-'Financial Statements'!B96+C32</f>
        <v>155012</v>
      </c>
      <c r="D31" s="24">
        <f>'Financial Statements'!C22+'Financial Statements'!C79-'List of Ratios'!D33-'Financial Statements'!C96+D32</f>
        <v>166408</v>
      </c>
      <c r="E31" s="24">
        <f>'Financial Statements'!D22+'Financial Statements'!D79-'List of Ratios'!E33-'Financial Statements'!D96+E32</f>
        <v>110647</v>
      </c>
      <c r="G31" t="s">
        <v>169</v>
      </c>
    </row>
    <row r="32" spans="1:7" x14ac:dyDescent="0.3">
      <c r="A32" s="18"/>
      <c r="B32" s="3" t="s">
        <v>159</v>
      </c>
      <c r="C32" s="24">
        <f>'Financial Statements'!B104</f>
        <v>5465</v>
      </c>
      <c r="D32" s="24">
        <f>'Financial Statements'!C104</f>
        <v>20393</v>
      </c>
      <c r="E32" s="24">
        <f>'Financial Statements'!D104</f>
        <v>16091</v>
      </c>
      <c r="G32" t="s">
        <v>168</v>
      </c>
    </row>
    <row r="33" spans="1:7" x14ac:dyDescent="0.3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G33" t="s">
        <v>167</v>
      </c>
    </row>
    <row r="34" spans="1:7" x14ac:dyDescent="0.3">
      <c r="A34" s="18"/>
    </row>
    <row r="35" spans="1:7" x14ac:dyDescent="0.3">
      <c r="A35" s="18">
        <f>+A24+1</f>
        <v>4</v>
      </c>
      <c r="B35" s="17" t="s">
        <v>124</v>
      </c>
    </row>
    <row r="36" spans="1:7" x14ac:dyDescent="0.3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</row>
    <row r="37" spans="1:7" x14ac:dyDescent="0.3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</row>
    <row r="38" spans="1:7" x14ac:dyDescent="0.3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</row>
    <row r="39" spans="1:7" x14ac:dyDescent="0.3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</row>
    <row r="40" spans="1:7" x14ac:dyDescent="0.3">
      <c r="A40" s="18"/>
    </row>
    <row r="41" spans="1:7" x14ac:dyDescent="0.3">
      <c r="A41" s="18">
        <f>+A35+1</f>
        <v>5</v>
      </c>
      <c r="B41" s="17" t="s">
        <v>129</v>
      </c>
    </row>
    <row r="42" spans="1:7" x14ac:dyDescent="0.3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</row>
    <row r="43" spans="1:7" x14ac:dyDescent="0.3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</row>
    <row r="44" spans="1:7" x14ac:dyDescent="0.3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</row>
    <row r="45" spans="1:7" x14ac:dyDescent="0.3">
      <c r="A45" s="18">
        <f t="shared" si="5"/>
        <v>5.3999999999999986</v>
      </c>
      <c r="B45" s="3" t="s">
        <v>133</v>
      </c>
      <c r="C45" s="24">
        <f>('Financial Statements'!B48-'Financial Statements'!B62)/('Financial Statements'!B28/1000)</f>
        <v>3.1037952827971451</v>
      </c>
      <c r="D45" s="24">
        <f>('Financial Statements'!C48-'Financial Statements'!C62)/('Financial Statements'!C28/1000)</f>
        <v>3.740901453484597</v>
      </c>
      <c r="E45" s="24">
        <f>('Financial Statements'!D48-'Financial Statements'!D62)/('Financial Statements'!D28/1000)</f>
        <v>3.7276473233382479</v>
      </c>
      <c r="G45" t="s">
        <v>170</v>
      </c>
    </row>
    <row r="46" spans="1:7" x14ac:dyDescent="0.3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</row>
    <row r="47" spans="1:7" x14ac:dyDescent="0.3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</row>
    <row r="48" spans="1:7" x14ac:dyDescent="0.3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</row>
    <row r="49" spans="1:7" x14ac:dyDescent="0.3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</row>
    <row r="50" spans="1:7" x14ac:dyDescent="0.3">
      <c r="A50" s="18">
        <f t="shared" si="7"/>
        <v>5.6999999999999975</v>
      </c>
      <c r="B50" s="1" t="s">
        <v>138</v>
      </c>
      <c r="C50" s="24">
        <f>C21/('Financial Statements'!B68-'Financial Statements'!B55)</f>
        <v>3.0203570706048959</v>
      </c>
      <c r="D50" s="24">
        <f>D21/('Financial Statements'!C68-'Financial Statements'!C55)</f>
        <v>2.0373057576154237</v>
      </c>
      <c r="E50" s="24">
        <f>E21/('Financial Statements'!D68-'Financial Statements'!D55)</f>
        <v>1.1718700279319734</v>
      </c>
      <c r="G50" t="s">
        <v>171</v>
      </c>
    </row>
    <row r="51" spans="1:7" x14ac:dyDescent="0.3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</row>
    <row r="52" spans="1:7" x14ac:dyDescent="0.3">
      <c r="A52" s="18">
        <f t="shared" si="7"/>
        <v>5.7999999999999972</v>
      </c>
      <c r="B52" s="1" t="s">
        <v>139</v>
      </c>
      <c r="C52" s="24">
        <f>C53/C19</f>
        <v>16.826335501260143</v>
      </c>
      <c r="D52" s="24">
        <f t="shared" ref="D52:E52" si="8">D53/D19</f>
        <v>25.524354102700588</v>
      </c>
      <c r="E52" s="24">
        <f t="shared" si="8"/>
        <v>30.855266286460491</v>
      </c>
    </row>
    <row r="53" spans="1:7" x14ac:dyDescent="0.3">
      <c r="A53" s="18"/>
      <c r="B53" s="3" t="s">
        <v>140</v>
      </c>
      <c r="C53" s="24">
        <f>(C55/1000)*('Financial Statements'!B28)+('Financial Statements'!B59)-'Financial Statements'!B36</f>
        <v>2196526.6626700005</v>
      </c>
      <c r="D53" s="24">
        <f>(D55/1000)*('Financial Statements'!C28)+('Financial Statements'!C59)-'Financial Statements'!C36</f>
        <v>3068869.66683</v>
      </c>
      <c r="E53" s="24">
        <f>(E55/1000)*('Financial Statements'!D28)+('Financial Statements'!D59)-'Financial Statements'!D36</f>
        <v>2386469.7156600002</v>
      </c>
      <c r="G53" t="s">
        <v>172</v>
      </c>
    </row>
    <row r="55" spans="1:7" x14ac:dyDescent="0.3">
      <c r="B55" s="11" t="s">
        <v>152</v>
      </c>
      <c r="C55">
        <v>129.93</v>
      </c>
      <c r="D55">
        <v>177.57</v>
      </c>
      <c r="E55">
        <v>132.69</v>
      </c>
    </row>
    <row r="57" spans="1:7" x14ac:dyDescent="0.3">
      <c r="B57" s="7" t="s">
        <v>150</v>
      </c>
    </row>
    <row r="58" spans="1:7" x14ac:dyDescent="0.3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</row>
    <row r="59" spans="1:7" x14ac:dyDescent="0.3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</row>
    <row r="60" spans="1:7" x14ac:dyDescent="0.3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</row>
    <row r="61" spans="1:7" x14ac:dyDescent="0.3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</row>
    <row r="62" spans="1:7" x14ac:dyDescent="0.3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</row>
    <row r="63" spans="1:7" x14ac:dyDescent="0.3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</row>
    <row r="64" spans="1:7" x14ac:dyDescent="0.3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</row>
    <row r="65" spans="2:5" x14ac:dyDescent="0.3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</row>
    <row r="66" spans="2:5" x14ac:dyDescent="0.3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</row>
    <row r="67" spans="2:5" x14ac:dyDescent="0.3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</row>
    <row r="68" spans="2:5" x14ac:dyDescent="0.3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</row>
    <row r="69" spans="2:5" x14ac:dyDescent="0.3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</row>
    <row r="70" spans="2:5" x14ac:dyDescent="0.3">
      <c r="C70" s="23"/>
      <c r="D70" s="23"/>
      <c r="E70" s="23"/>
    </row>
    <row r="71" spans="2:5" x14ac:dyDescent="0.3">
      <c r="B71" s="7" t="s">
        <v>151</v>
      </c>
      <c r="C71" s="23"/>
      <c r="D71" s="23"/>
      <c r="E71" s="23"/>
    </row>
    <row r="72" spans="2:5" x14ac:dyDescent="0.3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</row>
    <row r="73" spans="2:5" x14ac:dyDescent="0.3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</row>
    <row r="74" spans="2:5" x14ac:dyDescent="0.3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</row>
    <row r="75" spans="2:5" x14ac:dyDescent="0.3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</row>
    <row r="76" spans="2:5" x14ac:dyDescent="0.3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</row>
    <row r="77" spans="2:5" x14ac:dyDescent="0.3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</row>
    <row r="78" spans="2:5" x14ac:dyDescent="0.3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</row>
    <row r="79" spans="2:5" x14ac:dyDescent="0.3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</row>
    <row r="80" spans="2:5" x14ac:dyDescent="0.3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</row>
  </sheetData>
  <mergeCells count="1">
    <mergeCell ref="C2:E2"/>
  </mergeCells>
  <pageMargins left="0.7" right="0.7" top="0.75" bottom="0.75" header="0.3" footer="0.3"/>
  <pageSetup orientation="portrait" r:id="rId1"/>
  <legacyDrawing r:id="rId2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Kareem</cp:lastModifiedBy>
  <dcterms:created xsi:type="dcterms:W3CDTF">2020-05-18T16:32:37Z</dcterms:created>
  <dcterms:modified xsi:type="dcterms:W3CDTF">2023-07-14T09:45:07Z</dcterms:modified>
</cp:coreProperties>
</file>