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Krith\Downloads\"/>
    </mc:Choice>
  </mc:AlternateContent>
  <xr:revisionPtr revIDLastSave="0" documentId="13_ncr:1_{C27FBFB0-300C-4B2A-9709-9885478FA272}" xr6:coauthVersionLast="47" xr6:coauthVersionMax="47" xr10:uidLastSave="{00000000-0000-0000-0000-000000000000}"/>
  <bookViews>
    <workbookView xWindow="-110" yWindow="-110" windowWidth="19420" windowHeight="10420" activeTab="2" xr2:uid="{00000000-000D-0000-FFFF-FFFF00000000}"/>
  </bookViews>
  <sheets>
    <sheet name="Instructions" sheetId="2" r:id="rId1"/>
    <sheet name="Financial Statements" sheetId="1" r:id="rId2"/>
    <sheet name="List of Ratios"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5" i="3" l="1"/>
  <c r="E45" i="3"/>
  <c r="C45" i="3"/>
  <c r="D53" i="3"/>
  <c r="E53" i="3"/>
  <c r="C53" i="3"/>
  <c r="D54" i="3"/>
  <c r="E54" i="3"/>
  <c r="C54" i="3"/>
  <c r="D31" i="3"/>
  <c r="E31" i="3"/>
  <c r="C31" i="3"/>
  <c r="D29" i="3"/>
  <c r="E29" i="3"/>
  <c r="C29" i="3"/>
  <c r="D28" i="3"/>
  <c r="E28" i="3"/>
  <c r="C28" i="3"/>
  <c r="D27" i="3"/>
  <c r="E27" i="3"/>
  <c r="C27" i="3"/>
  <c r="D26" i="3"/>
  <c r="E26" i="3"/>
  <c r="C26" i="3"/>
  <c r="D25" i="3"/>
  <c r="E25" i="3"/>
  <c r="C25" i="3"/>
  <c r="D8" i="3"/>
  <c r="E8" i="3"/>
  <c r="C8" i="3"/>
  <c r="D32" i="3"/>
  <c r="E32" i="3"/>
  <c r="C32" i="3"/>
  <c r="D82" i="3"/>
  <c r="E82" i="3"/>
  <c r="C82" i="3"/>
  <c r="D63" i="3"/>
  <c r="E63" i="3"/>
  <c r="C63" i="3"/>
  <c r="E62" i="3"/>
  <c r="D62" i="3"/>
  <c r="C62" i="3"/>
  <c r="D59" i="3"/>
  <c r="E59" i="3"/>
  <c r="C59" i="3"/>
  <c r="D58" i="3"/>
  <c r="E58" i="3"/>
  <c r="C58" i="3"/>
  <c r="D47" i="3"/>
  <c r="D48" i="3" s="1"/>
  <c r="E47" i="3"/>
  <c r="E48" i="3" s="1"/>
  <c r="C47" i="3"/>
  <c r="C48" i="3" s="1"/>
  <c r="D43" i="3"/>
  <c r="D42" i="3" s="1"/>
  <c r="E43" i="3"/>
  <c r="E42" i="3" s="1"/>
  <c r="C43" i="3"/>
  <c r="C42" i="3" s="1"/>
  <c r="E91" i="1"/>
  <c r="E68" i="1"/>
  <c r="E61" i="1"/>
  <c r="E56" i="1"/>
  <c r="E47" i="1"/>
  <c r="E48" i="1" s="1"/>
  <c r="E42" i="1"/>
  <c r="E17" i="1"/>
  <c r="E12" i="1"/>
  <c r="E8" i="1"/>
  <c r="E62" i="1" l="1"/>
  <c r="E13" i="1"/>
  <c r="E18" i="1" s="1"/>
  <c r="E20" i="1" s="1"/>
  <c r="E22" i="1" s="1"/>
  <c r="E69" i="1"/>
  <c r="D108" i="1" l="1"/>
  <c r="C108" i="1"/>
  <c r="B108" i="1"/>
  <c r="D99" i="1"/>
  <c r="C99" i="1"/>
  <c r="B99" i="1"/>
  <c r="D68" i="1" l="1"/>
  <c r="C68" i="1"/>
  <c r="B68" i="1"/>
  <c r="D61" i="1"/>
  <c r="E68" i="3" s="1"/>
  <c r="C61" i="1"/>
  <c r="D68" i="3" s="1"/>
  <c r="B61" i="1"/>
  <c r="C68" i="3" s="1"/>
  <c r="D56" i="1"/>
  <c r="C56" i="1"/>
  <c r="B56" i="1"/>
  <c r="D47" i="1"/>
  <c r="E66" i="3" s="1"/>
  <c r="C47" i="1"/>
  <c r="D66" i="3" s="1"/>
  <c r="B47" i="1"/>
  <c r="C66" i="3" s="1"/>
  <c r="D42" i="1"/>
  <c r="C42" i="1"/>
  <c r="B42" i="1"/>
  <c r="B48" i="1" s="1"/>
  <c r="D17" i="1"/>
  <c r="E64" i="3" s="1"/>
  <c r="C17" i="1"/>
  <c r="D64" i="3" s="1"/>
  <c r="B17" i="1"/>
  <c r="D12" i="1"/>
  <c r="C12" i="1"/>
  <c r="B12" i="1"/>
  <c r="D8" i="1"/>
  <c r="C8" i="1"/>
  <c r="B8" i="1"/>
  <c r="E3" i="3"/>
  <c r="D3" i="3"/>
  <c r="C3" i="3"/>
  <c r="D33" i="1"/>
  <c r="D73" i="1" s="1"/>
  <c r="C33" i="1"/>
  <c r="C73" i="1" s="1"/>
  <c r="B33" i="1"/>
  <c r="B73" i="1" s="1"/>
  <c r="D14" i="3" l="1"/>
  <c r="D65" i="3"/>
  <c r="D6" i="3"/>
  <c r="D5" i="3"/>
  <c r="B13" i="1"/>
  <c r="C60" i="3"/>
  <c r="C81" i="3"/>
  <c r="C37" i="3"/>
  <c r="C75" i="3"/>
  <c r="C36" i="3"/>
  <c r="C11" i="3"/>
  <c r="C74" i="3"/>
  <c r="C13" i="1"/>
  <c r="D81" i="3"/>
  <c r="D37" i="3"/>
  <c r="D75" i="3"/>
  <c r="D74" i="3"/>
  <c r="D60" i="3"/>
  <c r="D11" i="3"/>
  <c r="E67" i="3"/>
  <c r="E7" i="3"/>
  <c r="C64" i="3"/>
  <c r="C69" i="3"/>
  <c r="E65" i="3"/>
  <c r="E6" i="3"/>
  <c r="E14" i="3"/>
  <c r="E5" i="3"/>
  <c r="C65" i="3"/>
  <c r="C6" i="3"/>
  <c r="C14" i="3"/>
  <c r="C5" i="3"/>
  <c r="B62" i="1"/>
  <c r="C7" i="3"/>
  <c r="C67" i="3"/>
  <c r="D67" i="3"/>
  <c r="D7" i="3"/>
  <c r="D13" i="1"/>
  <c r="E11" i="3"/>
  <c r="E75" i="3"/>
  <c r="E60" i="3"/>
  <c r="E37" i="3"/>
  <c r="E74" i="3"/>
  <c r="E81" i="3"/>
  <c r="C38" i="3"/>
  <c r="C10" i="3"/>
  <c r="C72" i="3"/>
  <c r="C9" i="3"/>
  <c r="D72" i="3"/>
  <c r="D38" i="3"/>
  <c r="D9" i="3"/>
  <c r="D10" i="3"/>
  <c r="E72" i="3"/>
  <c r="E38" i="3"/>
  <c r="E10" i="3"/>
  <c r="E9" i="3"/>
  <c r="D69" i="3"/>
  <c r="E69" i="3"/>
  <c r="C62" i="1"/>
  <c r="B18" i="1"/>
  <c r="C48" i="1"/>
  <c r="D62" i="1"/>
  <c r="D69" i="1" s="1"/>
  <c r="C69" i="1"/>
  <c r="D48" i="1"/>
  <c r="B69" i="1"/>
  <c r="A49" i="3"/>
  <c r="A51" i="3" s="1"/>
  <c r="A16" i="3"/>
  <c r="A17" i="3" s="1"/>
  <c r="A18" i="3" s="1"/>
  <c r="A20" i="3" s="1"/>
  <c r="A22" i="3" s="1"/>
  <c r="A5" i="3"/>
  <c r="A6" i="3" s="1"/>
  <c r="A7" i="3" s="1"/>
  <c r="A8" i="3" s="1"/>
  <c r="A9" i="3" s="1"/>
  <c r="A10" i="3" s="1"/>
  <c r="A11" i="3" s="1"/>
  <c r="A12" i="3" s="1"/>
  <c r="A13" i="3" s="1"/>
  <c r="D12" i="3" l="1"/>
  <c r="D44" i="3"/>
  <c r="C13" i="3"/>
  <c r="C33" i="3"/>
  <c r="D36" i="3"/>
  <c r="E44" i="3"/>
  <c r="B20" i="1"/>
  <c r="C76" i="3"/>
  <c r="E36" i="3"/>
  <c r="D18" i="1"/>
  <c r="E17" i="3"/>
  <c r="E73" i="3"/>
  <c r="E61" i="3"/>
  <c r="C12" i="3"/>
  <c r="D13" i="3"/>
  <c r="D33" i="3"/>
  <c r="C44" i="3"/>
  <c r="C17" i="3"/>
  <c r="C61" i="3"/>
  <c r="C73" i="3"/>
  <c r="E12" i="3"/>
  <c r="E13" i="3"/>
  <c r="E33" i="3"/>
  <c r="C18" i="1"/>
  <c r="D17" i="3"/>
  <c r="D73" i="3"/>
  <c r="D61" i="3"/>
  <c r="A24" i="3"/>
  <c r="A25" i="3" s="1"/>
  <c r="A26" i="3" s="1"/>
  <c r="A27" i="3" s="1"/>
  <c r="A28" i="3" s="1"/>
  <c r="A29" i="3" s="1"/>
  <c r="A30" i="3" s="1"/>
  <c r="D20" i="1" l="1"/>
  <c r="E76" i="3"/>
  <c r="C20" i="1"/>
  <c r="D76" i="3"/>
  <c r="B22" i="1"/>
  <c r="C80" i="3"/>
  <c r="C21" i="3"/>
  <c r="C19" i="3"/>
  <c r="A35" i="3"/>
  <c r="A41" i="3" s="1"/>
  <c r="A42" i="3" s="1"/>
  <c r="A43" i="3" s="1"/>
  <c r="A44" i="3" s="1"/>
  <c r="A45" i="3" s="1"/>
  <c r="A46" i="3" s="1"/>
  <c r="A48" i="3" s="1"/>
  <c r="A50" i="3" s="1"/>
  <c r="A52" i="3" s="1"/>
  <c r="C18" i="3" l="1"/>
  <c r="C52" i="3"/>
  <c r="C50" i="3"/>
  <c r="C20" i="3"/>
  <c r="B76" i="1"/>
  <c r="B91" i="1" s="1"/>
  <c r="B109" i="1" s="1"/>
  <c r="C30" i="3"/>
  <c r="C22" i="3"/>
  <c r="C77" i="3"/>
  <c r="C46" i="3"/>
  <c r="C51" i="3"/>
  <c r="C39" i="3"/>
  <c r="C49" i="3"/>
  <c r="C22" i="1"/>
  <c r="D21" i="3"/>
  <c r="D19" i="3"/>
  <c r="D80" i="3"/>
  <c r="D22" i="1"/>
  <c r="E21" i="3"/>
  <c r="E80" i="3"/>
  <c r="E19" i="3"/>
  <c r="A36" i="3"/>
  <c r="A37" i="3" s="1"/>
  <c r="A38" i="3" s="1"/>
  <c r="A39" i="3" s="1"/>
  <c r="D18" i="3" l="1"/>
  <c r="D52" i="3"/>
  <c r="D50" i="3"/>
  <c r="D20" i="3"/>
  <c r="C76" i="1"/>
  <c r="C91" i="1" s="1"/>
  <c r="C109" i="1" s="1"/>
  <c r="D51" i="3"/>
  <c r="D77" i="3"/>
  <c r="D46" i="3"/>
  <c r="D22" i="3"/>
  <c r="D30" i="3"/>
  <c r="D39" i="3"/>
  <c r="D49" i="3"/>
  <c r="E18" i="3"/>
  <c r="E52" i="3"/>
  <c r="E50" i="3"/>
  <c r="E20" i="3"/>
  <c r="D76" i="1"/>
  <c r="D91" i="1" s="1"/>
  <c r="D109" i="1" s="1"/>
  <c r="E22" i="3"/>
  <c r="E51" i="3"/>
  <c r="E49" i="3"/>
  <c r="E77" i="3"/>
  <c r="E30" i="3"/>
  <c r="E46" i="3"/>
  <c r="E39" i="3"/>
</calcChain>
</file>

<file path=xl/sharedStrings.xml><?xml version="1.0" encoding="utf-8"?>
<sst xmlns="http://schemas.openxmlformats.org/spreadsheetml/2006/main" count="211" uniqueCount="171">
  <si>
    <t>Apple Inc.</t>
  </si>
  <si>
    <t>CONSOLIDATED STATEMENTS OF OPERATIONS</t>
  </si>
  <si>
    <t>(In millions, except number of shares which are reflected in thousands and per share amounts)</t>
  </si>
  <si>
    <t>Net sales:</t>
  </si>
  <si>
    <t>Products</t>
  </si>
  <si>
    <t>Services</t>
  </si>
  <si>
    <t>Total net sales</t>
  </si>
  <si>
    <t>Cost of sales:</t>
  </si>
  <si>
    <t>Total 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</si>
  <si>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</si>
  <si>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</si>
  <si>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</si>
  <si>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</si>
  <si>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</si>
  <si>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</si>
  <si>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</si>
  <si>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</si>
  <si>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</si>
  <si>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</si>
  <si>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Earnings per share:</t>
  </si>
  <si>
    <t>Basic</t>
  </si>
  <si>
    <t>Diluted</t>
  </si>
  <si>
    <t>Shares used in computing earnings per share:</t>
  </si>
  <si>
    <t>Years ended September,</t>
  </si>
  <si>
    <t>CONSOLIDATED BALANCE SHEETS</t>
  </si>
  <si>
    <t>Current assets:</t>
  </si>
  <si>
    <t>Cash and cash equivalents</t>
  </si>
  <si>
    <t>Marketable securities</t>
  </si>
  <si>
    <t>Accounts receivable, net</t>
  </si>
  <si>
    <t>Inventories</t>
  </si>
  <si>
    <t>Other current assets</t>
  </si>
  <si>
    <t>Total current assets</t>
  </si>
  <si>
    <t>Property, plant and equipment, net</t>
  </si>
  <si>
    <t>Total assets</t>
  </si>
  <si>
    <t>Current liabilities:</t>
  </si>
  <si>
    <t>Accounts payable</t>
  </si>
  <si>
    <t>Other current liabilities</t>
  </si>
  <si>
    <t>Deferred revenue</t>
  </si>
  <si>
    <t>Commercial paper</t>
  </si>
  <si>
    <t>Term debt</t>
  </si>
  <si>
    <t>Total current liabilities</t>
  </si>
  <si>
    <t>Total liabilities</t>
  </si>
  <si>
    <t>Shareholders’ equity:</t>
  </si>
  <si>
    <t>Retained earnings</t>
  </si>
  <si>
    <t>Accumulated other comprehensive income/(loss)</t>
  </si>
  <si>
    <t>Total shareholders’ equity</t>
  </si>
  <si>
    <t>Total liabilities and shareholders’ equity</t>
  </si>
  <si>
    <t>Vendor non trade receivables</t>
  </si>
  <si>
    <t>Non current assets:</t>
  </si>
  <si>
    <t>Other non current assets</t>
  </si>
  <si>
    <t>Total non current assets</t>
  </si>
  <si>
    <t>Non current liabilities:</t>
  </si>
  <si>
    <t>Other non current liabilities</t>
  </si>
  <si>
    <t>Total non current liabilities</t>
  </si>
  <si>
    <t>Common stock and additional paid in capital, $0.00001 par value: 12,600,000 shares authorized; 4,443,236 and 4,754,986 shares issued and outstanding, respectively</t>
  </si>
  <si>
    <t>CONSOLIDATED STATEMENTS OF CASH FLOWS</t>
  </si>
  <si>
    <t>Cash, cash equivalents and restricted cash, beginning balances</t>
  </si>
  <si>
    <t>Operating activities:</t>
  </si>
  <si>
    <t>Adjustments to reconcile net income to cash generated by operating</t>
  </si>
  <si>
    <t>Depreciation and amortization</t>
  </si>
  <si>
    <t>Deferred income tax expense/(benefit)</t>
  </si>
  <si>
    <t>Other</t>
  </si>
  <si>
    <t>Changes in operating assets and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</si>
  <si>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</si>
  <si>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</si>
  <si>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</si>
  <si>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</si>
  <si>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</si>
  <si>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</si>
  <si>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</si>
  <si>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</si>
  <si>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</si>
  <si>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</si>
  <si>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</si>
  <si>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</si>
  <si>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</si>
  <si>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</si>
  <si>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</si>
  <si>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</si>
  <si>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</si>
  <si>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</si>
  <si>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</si>
  <si>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</si>
  <si>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Share based compensation expense</t>
  </si>
  <si>
    <t>Other current and non current assets</t>
  </si>
  <si>
    <t>Other current and non current liabilities</t>
  </si>
  <si>
    <t>Payments for taxes related to net share settlement of equity awards</t>
  </si>
  <si>
    <t>Instructions</t>
  </si>
  <si>
    <t>https://investor.apple.com/investor-relations/default.aspx</t>
  </si>
  <si>
    <t>Gross profits</t>
  </si>
  <si>
    <t>Each operating expenses</t>
  </si>
  <si>
    <t>Main line items of the balance sheet</t>
  </si>
  <si>
    <t>You are required to calculate margins/ as a % of net sales for the following:</t>
  </si>
  <si>
    <t>Net profit</t>
  </si>
  <si>
    <t>Income tax rate</t>
  </si>
  <si>
    <t>Capex as a percentage of sales</t>
  </si>
  <si>
    <t>Capex as a percentage of fixed assets</t>
  </si>
  <si>
    <t>You are required to perform a ratio analysis in excel using the information provided from this financial statements</t>
  </si>
  <si>
    <t>You are required to calculate the following additional items</t>
  </si>
  <si>
    <t>Liquidity</t>
  </si>
  <si>
    <t>Current ratio</t>
  </si>
  <si>
    <t>Quick Ratio</t>
  </si>
  <si>
    <t>Cash Ratio</t>
  </si>
  <si>
    <t>Defensive Interval</t>
  </si>
  <si>
    <t>Inventory Days</t>
  </si>
  <si>
    <t>Payable Days</t>
  </si>
  <si>
    <t>Receivable Days</t>
  </si>
  <si>
    <t>Net trading cycle</t>
  </si>
  <si>
    <t>Working Capital as a % of Sales</t>
  </si>
  <si>
    <t>Working Capital</t>
  </si>
  <si>
    <t>Profitability</t>
  </si>
  <si>
    <t>EBITDA margin</t>
  </si>
  <si>
    <t>EBITDA</t>
  </si>
  <si>
    <t>EBIT margin</t>
  </si>
  <si>
    <t>EBIT</t>
  </si>
  <si>
    <t>Net margin</t>
  </si>
  <si>
    <t>Solvency/ debt management</t>
  </si>
  <si>
    <t>Debt to equity (D/E)</t>
  </si>
  <si>
    <t>Debt to total assets</t>
  </si>
  <si>
    <t>Long-term debt to capital</t>
  </si>
  <si>
    <t>Times interest earned</t>
  </si>
  <si>
    <t>Debt coverage</t>
  </si>
  <si>
    <t>Free cash flow (FCFE) per share</t>
  </si>
  <si>
    <t>FCFE</t>
  </si>
  <si>
    <t>Asset utilization</t>
  </si>
  <si>
    <t>Total asset turnover</t>
  </si>
  <si>
    <t>Fixed asset turnover</t>
  </si>
  <si>
    <t>Inventory turnover</t>
  </si>
  <si>
    <t>Return on assets (ROA)</t>
  </si>
  <si>
    <t>Investor/market ratios</t>
  </si>
  <si>
    <t>Price to equity (P/E)</t>
  </si>
  <si>
    <t>Earnings per share (EPS)</t>
  </si>
  <si>
    <t>Price to book value (PBV)</t>
  </si>
  <si>
    <t>Book value per share (BV)</t>
  </si>
  <si>
    <t>Dividend payout ratio</t>
  </si>
  <si>
    <t>Dividend per share</t>
  </si>
  <si>
    <t>Dividend yield</t>
  </si>
  <si>
    <t>Return on equity (ROE)</t>
  </si>
  <si>
    <t>Return on capital employed (ROCE)</t>
  </si>
  <si>
    <t>Enterprise value to EBITDA (EV/EBITDA)</t>
  </si>
  <si>
    <t>Enterprise value (EV)</t>
  </si>
  <si>
    <t>Sheet contains the financial statements of Apple Inc. extracted from the most recent annual report:</t>
  </si>
  <si>
    <t>As at September,</t>
  </si>
  <si>
    <t>https://www.bloomberg.com/quote/AAPL:US</t>
  </si>
  <si>
    <t>* Market information like share price should be obtained from bloomberg.com from the particular day's closing price</t>
  </si>
  <si>
    <t>Sales (each category and net sales)</t>
  </si>
  <si>
    <t>COGS (Cost of goods sold)</t>
  </si>
  <si>
    <t>All of the above ratios should be calculated in the "List of Ratios" tab</t>
  </si>
  <si>
    <t>The ratios that should be calculated are listed in the ratios tab</t>
  </si>
  <si>
    <t>In addition to the above, you are required to calculate the growth rates for the following:</t>
  </si>
  <si>
    <t>Growth Rate</t>
  </si>
  <si>
    <t>Margins</t>
  </si>
  <si>
    <t>Additional items</t>
  </si>
  <si>
    <t>Price</t>
  </si>
  <si>
    <t>Net Sales</t>
  </si>
  <si>
    <t>Non-current assets</t>
  </si>
  <si>
    <t>Current assets</t>
  </si>
  <si>
    <t>Non-current liabilities</t>
  </si>
  <si>
    <t>Current liabilities</t>
  </si>
  <si>
    <t>Change in net working capital</t>
  </si>
  <si>
    <t>Net debt</t>
  </si>
  <si>
    <t>Current Assets / Daily Operational Expenses where Daily Operational Expenses = (Annual Operating Expenses - Noncash Charges) / 365</t>
  </si>
  <si>
    <t>Long term debt/ Capital =  long term portion of the term debt /(long term debt + equity)</t>
  </si>
  <si>
    <t>EBIT/Interest Expense</t>
  </si>
  <si>
    <t>EBIT/(Interest Expense + Debt repayment)</t>
  </si>
  <si>
    <t>Cash from operations + Payments made in connection with business acquisitions + Proceeds from issuance of term debt (all the numbers are from cash flow statement, not from balance sheet)</t>
  </si>
  <si>
    <t>Please use the Diluted share count for this calculation. Please note that the income statement is in millions while the share count is in absolute value, therefore, please divide the share count by 1,000</t>
  </si>
  <si>
    <t xml:space="preserve">Market Cap + Total Debt - (Cash + Cash Equivalents), where Market Cap = Share price*No. of diluted shares. Include only term debt for debt value
</t>
  </si>
  <si>
    <t>Feedback</t>
  </si>
  <si>
    <t>Include only long term portion of the term debt, short term debt is not included in capital</t>
  </si>
  <si>
    <t>Market Cap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</si>
</sst>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
      <b/>
      <sz val="16"/>
      <color theme="0"/>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cellStyleXfs>
  <cellXfs count="29">
    <xf numFmtId="0" fontId="0" fillId="0" borderId="0" xfId="0"/>
    <xf numFmtId="0" fontId="0" fillId="0" borderId="0" xfId="0" applyAlignment="1">
      <alignment horizontal="left" indent="1"/>
    </xf>
    <xf numFmtId="3" fontId="0" fillId="0" borderId="0" xfId="0" applyNumberFormat="1"/>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1" xfId="0" applyFont="1" applyBorder="1"/>
    <xf numFmtId="0" fontId="2" fillId="0" borderId="2" xfId="0" applyFont="1" applyBorder="1"/>
    <xf numFmtId="0" fontId="0" fillId="4" borderId="0" xfId="0" applyFill="1"/>
    <xf numFmtId="0" fontId="2" fillId="0" borderId="0" xfId="0" applyFont="1" applyAlignment="1">
      <alignment horizontal="left" indent="1"/>
    </xf>
    <xf numFmtId="164" fontId="0" fillId="0" borderId="0" xfId="1" applyNumberFormat="1" applyFont="1"/>
    <xf numFmtId="164" fontId="2" fillId="0" borderId="1" xfId="1" applyNumberFormat="1" applyFont="1" applyBorder="1"/>
    <xf numFmtId="164" fontId="2" fillId="0" borderId="2" xfId="1" applyNumberFormat="1" applyFont="1" applyBorder="1"/>
    <xf numFmtId="164" fontId="2" fillId="0" borderId="0" xfId="1" applyNumberFormat="1" applyFont="1"/>
    <xf numFmtId="0" fontId="6" fillId="0" borderId="0" xfId="2" applyAlignment="1">
      <alignment horizontal="left" indent="1"/>
    </xf>
    <xf numFmtId="0" fontId="2" fillId="0" borderId="0" xfId="0" applyFont="1" applyAlignment="1">
      <alignment horizontal="left"/>
    </xf>
    <xf numFmtId="165" fontId="0" fillId="0" borderId="0" xfId="0" applyNumberFormat="1"/>
    <xf numFmtId="0" fontId="3" fillId="2" borderId="0" xfId="0" applyFont="1" applyFill="1" applyAlignment="1">
      <alignment horizontal="center"/>
    </xf>
    <xf numFmtId="0" fontId="7" fillId="2" borderId="0" xfId="0" applyFont="1" applyFill="1" applyAlignment="1">
      <alignment horizontal="left"/>
    </xf>
    <xf numFmtId="164" fontId="0" fillId="0" borderId="3" xfId="1" applyNumberFormat="1" applyFont="1" applyBorder="1"/>
    <xf numFmtId="0" fontId="2" fillId="0" borderId="3" xfId="0" applyFont="1" applyBorder="1" applyAlignment="1">
      <alignment horizontal="left"/>
    </xf>
    <xf numFmtId="10" fontId="0" fillId="0" borderId="0" xfId="3" applyNumberFormat="1" applyFont="1"/>
    <xf numFmtId="2" fontId="0" fillId="0" borderId="0" xfId="0" applyNumberFormat="1"/>
    <xf numFmtId="0" fontId="8" fillId="2" borderId="0" xfId="0" applyFont="1" applyFill="1" applyAlignment="1">
      <alignment horizontal="left"/>
    </xf>
    <xf numFmtId="0" fontId="2" fillId="0" borderId="0" xfId="0" applyFont="1" applyAlignment="1">
      <alignment horizontal="center"/>
    </xf>
    <xf numFmtId="0" fontId="2" fillId="3" borderId="0" xfId="0" applyFont="1" applyFill="1" applyAlignment="1">
      <alignment horizontal="center"/>
    </xf>
    <xf numFmtId="164" fontId="0" fillId="0" borderId="0" xfId="0" applyNumberFormat="1"/>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loomberg.com/quote/AAPL:US" TargetMode="External"/><Relationship Id="rId1" Type="http://schemas.openxmlformats.org/officeDocument/2006/relationships/hyperlink" Target="https://investor.apple.com/investor-relations/default.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workbookViewId="0">
      <selection activeCell="A2" sqref="A2"/>
    </sheetView>
  </sheetViews>
  <sheetFormatPr defaultRowHeight="14.5" x14ac:dyDescent="0.35"/>
  <cols>
    <col min="1" max="1" width="104.54296875" customWidth="1"/>
  </cols>
  <sheetData>
    <row r="1" spans="1:1" ht="23.5" x14ac:dyDescent="0.55000000000000004">
      <c r="A1" s="5" t="s">
        <v>87</v>
      </c>
    </row>
    <row r="3" spans="1:1" x14ac:dyDescent="0.35">
      <c r="A3" s="7" t="s">
        <v>141</v>
      </c>
    </row>
    <row r="4" spans="1:1" x14ac:dyDescent="0.35">
      <c r="A4" s="16" t="s">
        <v>88</v>
      </c>
    </row>
    <row r="5" spans="1:1" x14ac:dyDescent="0.35">
      <c r="A5" s="7" t="s">
        <v>97</v>
      </c>
    </row>
    <row r="6" spans="1:1" x14ac:dyDescent="0.35">
      <c r="A6" s="1" t="s">
        <v>148</v>
      </c>
    </row>
    <row r="7" spans="1:1" x14ac:dyDescent="0.35">
      <c r="A7" s="1"/>
    </row>
    <row r="8" spans="1:1" x14ac:dyDescent="0.35">
      <c r="A8" s="17" t="s">
        <v>149</v>
      </c>
    </row>
    <row r="9" spans="1:1" x14ac:dyDescent="0.35">
      <c r="A9" s="1" t="s">
        <v>145</v>
      </c>
    </row>
    <row r="10" spans="1:1" x14ac:dyDescent="0.35">
      <c r="A10" s="1" t="s">
        <v>89</v>
      </c>
    </row>
    <row r="11" spans="1:1" x14ac:dyDescent="0.35">
      <c r="A11" s="1" t="s">
        <v>90</v>
      </c>
    </row>
    <row r="12" spans="1:1" x14ac:dyDescent="0.35">
      <c r="A12" s="1" t="s">
        <v>91</v>
      </c>
    </row>
    <row r="13" spans="1:1" x14ac:dyDescent="0.35">
      <c r="A13" s="1"/>
    </row>
    <row r="14" spans="1:1" x14ac:dyDescent="0.35">
      <c r="A14" s="17" t="s">
        <v>92</v>
      </c>
    </row>
    <row r="15" spans="1:1" x14ac:dyDescent="0.35">
      <c r="A15" s="1" t="s">
        <v>146</v>
      </c>
    </row>
    <row r="16" spans="1:1" x14ac:dyDescent="0.35">
      <c r="A16" s="1" t="s">
        <v>89</v>
      </c>
    </row>
    <row r="17" spans="1:1" x14ac:dyDescent="0.35">
      <c r="A17" s="1" t="s">
        <v>90</v>
      </c>
    </row>
    <row r="18" spans="1:1" x14ac:dyDescent="0.35">
      <c r="A18" s="1" t="s">
        <v>14</v>
      </c>
    </row>
    <row r="19" spans="1:1" x14ac:dyDescent="0.35">
      <c r="A19" s="1" t="s">
        <v>93</v>
      </c>
    </row>
    <row r="20" spans="1:1" x14ac:dyDescent="0.35">
      <c r="A20" s="1"/>
    </row>
    <row r="21" spans="1:1" x14ac:dyDescent="0.35">
      <c r="A21" s="17" t="s">
        <v>98</v>
      </c>
    </row>
    <row r="22" spans="1:1" x14ac:dyDescent="0.35">
      <c r="A22" s="1" t="s">
        <v>94</v>
      </c>
    </row>
    <row r="23" spans="1:1" x14ac:dyDescent="0.35">
      <c r="A23" s="1" t="s">
        <v>95</v>
      </c>
    </row>
    <row r="24" spans="1:1" x14ac:dyDescent="0.35">
      <c r="A24" s="1" t="s">
        <v>96</v>
      </c>
    </row>
    <row r="25" spans="1:1" x14ac:dyDescent="0.35">
      <c r="A25" s="1"/>
    </row>
    <row r="26" spans="1:1" x14ac:dyDescent="0.35">
      <c r="A26" s="17" t="s">
        <v>144</v>
      </c>
    </row>
    <row r="27" spans="1:1" x14ac:dyDescent="0.35">
      <c r="A27" s="16" t="s">
        <v>143</v>
      </c>
    </row>
    <row r="29" spans="1:1" x14ac:dyDescent="0.35">
      <c r="A29" s="7" t="s">
        <v>147</v>
      </c>
    </row>
  </sheetData>
  <hyperlinks>
    <hyperlink ref="A4" r:id="rId1" xr:uid="{00000000-0004-0000-0000-000000000000}"/>
    <hyperlink ref="A27"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4"/>
  <sheetViews>
    <sheetView topLeftCell="A51" workbookViewId="0">
      <selection activeCell="B28" sqref="B28"/>
    </sheetView>
  </sheetViews>
  <sheetFormatPr defaultRowHeight="14.5" x14ac:dyDescent="0.35"/>
  <cols>
    <col min="1" max="1" width="59" customWidth="1"/>
    <col min="2" max="3" width="11.54296875" bestFit="1" customWidth="1"/>
    <col min="4" max="4" width="11.6328125" bestFit="1" customWidth="1"/>
  </cols>
  <sheetData>
    <row r="1" spans="1:10" ht="60" customHeight="1" x14ac:dyDescent="0.35">
      <c r="A1" s="6" t="s">
        <v>0</v>
      </c>
      <c r="B1" s="4" t="s">
        <v>2</v>
      </c>
      <c r="C1" s="4"/>
      <c r="D1" s="4"/>
      <c r="E1" s="4"/>
      <c r="F1" s="4"/>
      <c r="G1" s="4"/>
      <c r="H1" s="4"/>
      <c r="I1" s="4"/>
      <c r="J1" s="4"/>
    </row>
    <row r="2" spans="1:10" x14ac:dyDescent="0.35">
      <c r="A2" s="27" t="s">
        <v>1</v>
      </c>
      <c r="B2" s="27"/>
      <c r="C2" s="27"/>
      <c r="D2" s="27"/>
    </row>
    <row r="3" spans="1:10" x14ac:dyDescent="0.35">
      <c r="B3" s="26" t="s">
        <v>23</v>
      </c>
      <c r="C3" s="26"/>
      <c r="D3" s="26"/>
    </row>
    <row r="4" spans="1:10" x14ac:dyDescent="0.35">
      <c r="B4" s="7">
        <v>2022</v>
      </c>
      <c r="C4" s="7">
        <v>2021</v>
      </c>
      <c r="D4" s="7">
        <v>2020</v>
      </c>
      <c r="E4" s="7">
        <v>2019</v>
      </c>
    </row>
    <row r="5" spans="1:10" x14ac:dyDescent="0.35">
      <c r="A5" t="s">
        <v>3</v>
      </c>
    </row>
    <row r="6" spans="1:10" x14ac:dyDescent="0.35">
      <c r="A6" s="1" t="s">
        <v>4</v>
      </c>
      <c r="B6" s="12">
        <v>316199</v>
      </c>
      <c r="C6" s="12">
        <v>297392</v>
      </c>
      <c r="D6" s="12">
        <v>220747</v>
      </c>
      <c r="E6" s="2">
        <v>213883</v>
      </c>
    </row>
    <row r="7" spans="1:10" x14ac:dyDescent="0.35">
      <c r="A7" s="1" t="s">
        <v>5</v>
      </c>
      <c r="B7" s="12">
        <v>78129</v>
      </c>
      <c r="C7" s="12">
        <v>68425</v>
      </c>
      <c r="D7" s="12">
        <v>53768</v>
      </c>
      <c r="E7" s="2">
        <v>46291</v>
      </c>
    </row>
    <row r="8" spans="1:10" x14ac:dyDescent="0.35">
      <c r="A8" s="8" t="s">
        <v>6</v>
      </c>
      <c r="B8" s="13">
        <f>+B6+B7</f>
        <v>394328</v>
      </c>
      <c r="C8" s="13">
        <f t="shared" ref="C8:E8" si="0">+C6+C7</f>
        <v>365817</v>
      </c>
      <c r="D8" s="13">
        <f t="shared" si="0"/>
        <v>274515</v>
      </c>
      <c r="E8" s="13">
        <f t="shared" si="0"/>
        <v>260174</v>
      </c>
    </row>
    <row r="9" spans="1:10" x14ac:dyDescent="0.35">
      <c r="A9" t="s">
        <v>7</v>
      </c>
      <c r="B9" s="12"/>
      <c r="C9" s="12"/>
      <c r="D9" s="12"/>
    </row>
    <row r="10" spans="1:10" x14ac:dyDescent="0.35">
      <c r="A10" s="1" t="s">
        <v>4</v>
      </c>
      <c r="B10" s="12">
        <v>201471</v>
      </c>
      <c r="C10" s="12">
        <v>192266</v>
      </c>
      <c r="D10" s="12">
        <v>151286</v>
      </c>
      <c r="E10" s="2">
        <v>144996</v>
      </c>
    </row>
    <row r="11" spans="1:10" x14ac:dyDescent="0.35">
      <c r="A11" s="1" t="s">
        <v>5</v>
      </c>
      <c r="B11" s="12">
        <v>22075</v>
      </c>
      <c r="C11" s="12">
        <v>20715</v>
      </c>
      <c r="D11" s="12">
        <v>18273</v>
      </c>
      <c r="E11" s="2">
        <v>16786</v>
      </c>
    </row>
    <row r="12" spans="1:10" x14ac:dyDescent="0.35">
      <c r="A12" s="8" t="s">
        <v>8</v>
      </c>
      <c r="B12" s="13">
        <f>+B10+B11</f>
        <v>223546</v>
      </c>
      <c r="C12" s="13">
        <f t="shared" ref="C12:D12" si="1">+C10+C11</f>
        <v>212981</v>
      </c>
      <c r="D12" s="13">
        <f t="shared" si="1"/>
        <v>169559</v>
      </c>
      <c r="E12" s="13">
        <f t="shared" ref="E12" si="2">+E10+E11</f>
        <v>161782</v>
      </c>
    </row>
    <row r="13" spans="1:10" x14ac:dyDescent="0.35">
      <c r="A13" s="8" t="s">
        <v>9</v>
      </c>
      <c r="B13" s="13">
        <f>+B8-B12</f>
        <v>170782</v>
      </c>
      <c r="C13" s="13">
        <f t="shared" ref="C13:D13" si="3">+C8-C12</f>
        <v>152836</v>
      </c>
      <c r="D13" s="13">
        <f t="shared" si="3"/>
        <v>104956</v>
      </c>
      <c r="E13" s="13">
        <f t="shared" ref="E13" si="4">+E8-E12</f>
        <v>98392</v>
      </c>
    </row>
    <row r="14" spans="1:10" x14ac:dyDescent="0.35">
      <c r="A14" t="s">
        <v>10</v>
      </c>
      <c r="B14" s="12"/>
      <c r="C14" s="12"/>
      <c r="D14" s="12"/>
    </row>
    <row r="15" spans="1:10" x14ac:dyDescent="0.35">
      <c r="A15" s="1" t="s">
        <v>11</v>
      </c>
      <c r="B15" s="12">
        <v>26251</v>
      </c>
      <c r="C15" s="12">
        <v>21914</v>
      </c>
      <c r="D15" s="12">
        <v>18752</v>
      </c>
      <c r="E15" s="2">
        <v>16217</v>
      </c>
    </row>
    <row r="16" spans="1:10" x14ac:dyDescent="0.35">
      <c r="A16" s="1" t="s">
        <v>12</v>
      </c>
      <c r="B16" s="12">
        <v>25094</v>
      </c>
      <c r="C16" s="12">
        <v>21973</v>
      </c>
      <c r="D16" s="12">
        <v>19916</v>
      </c>
      <c r="E16" s="2">
        <v>18245</v>
      </c>
    </row>
    <row r="17" spans="1:5" x14ac:dyDescent="0.35">
      <c r="A17" s="8" t="s">
        <v>13</v>
      </c>
      <c r="B17" s="13">
        <f>+B15+B16</f>
        <v>51345</v>
      </c>
      <c r="C17" s="13">
        <f t="shared" ref="C17" si="5">+C15+C16</f>
        <v>43887</v>
      </c>
      <c r="D17" s="13">
        <f t="shared" ref="D17:E17" si="6">+D15+D16</f>
        <v>38668</v>
      </c>
      <c r="E17" s="13">
        <f t="shared" si="6"/>
        <v>34462</v>
      </c>
    </row>
    <row r="18" spans="1:5" s="7" customFormat="1" x14ac:dyDescent="0.35">
      <c r="A18" s="8" t="s">
        <v>14</v>
      </c>
      <c r="B18" s="13">
        <f>+B13-B17</f>
        <v>119437</v>
      </c>
      <c r="C18" s="13">
        <f t="shared" ref="C18:D18" si="7">+C13-C17</f>
        <v>108949</v>
      </c>
      <c r="D18" s="13">
        <f t="shared" si="7"/>
        <v>66288</v>
      </c>
      <c r="E18" s="13">
        <f t="shared" ref="E18" si="8">+E13-E17</f>
        <v>63930</v>
      </c>
    </row>
    <row r="19" spans="1:5" x14ac:dyDescent="0.35">
      <c r="A19" t="s">
        <v>15</v>
      </c>
      <c r="B19" s="12">
        <v>-334</v>
      </c>
      <c r="C19" s="12">
        <v>258</v>
      </c>
      <c r="D19" s="12">
        <v>803</v>
      </c>
      <c r="E19" s="2">
        <v>1807</v>
      </c>
    </row>
    <row r="20" spans="1:5" x14ac:dyDescent="0.35">
      <c r="A20" s="8" t="s">
        <v>16</v>
      </c>
      <c r="B20" s="13">
        <f>+B18+B19</f>
        <v>119103</v>
      </c>
      <c r="C20" s="13">
        <f t="shared" ref="C20:E20" si="9">+C18+C19</f>
        <v>109207</v>
      </c>
      <c r="D20" s="13">
        <f t="shared" si="9"/>
        <v>67091</v>
      </c>
      <c r="E20" s="13">
        <f t="shared" si="9"/>
        <v>65737</v>
      </c>
    </row>
    <row r="21" spans="1:5" x14ac:dyDescent="0.35">
      <c r="A21" t="s">
        <v>17</v>
      </c>
      <c r="B21" s="12">
        <v>19300</v>
      </c>
      <c r="C21" s="12">
        <v>14527</v>
      </c>
      <c r="D21" s="12">
        <v>9680</v>
      </c>
      <c r="E21" s="2">
        <v>10481</v>
      </c>
    </row>
    <row r="22" spans="1:5" ht="15" thickBot="1" x14ac:dyDescent="0.4">
      <c r="A22" s="9" t="s">
        <v>18</v>
      </c>
      <c r="B22" s="14">
        <f>+B20-B21</f>
        <v>99803</v>
      </c>
      <c r="C22" s="14">
        <f t="shared" ref="C22:E22" si="10">+C20-C21</f>
        <v>94680</v>
      </c>
      <c r="D22" s="14">
        <f t="shared" si="10"/>
        <v>57411</v>
      </c>
      <c r="E22" s="14">
        <f t="shared" si="10"/>
        <v>55256</v>
      </c>
    </row>
    <row r="23" spans="1:5" ht="15" thickTop="1" x14ac:dyDescent="0.35">
      <c r="A23" t="s">
        <v>19</v>
      </c>
    </row>
    <row r="24" spans="1:5" x14ac:dyDescent="0.35">
      <c r="A24" s="1" t="s">
        <v>20</v>
      </c>
      <c r="B24" s="10">
        <v>6.15</v>
      </c>
      <c r="C24" s="10">
        <v>5.67</v>
      </c>
      <c r="D24" s="10">
        <v>3.31</v>
      </c>
      <c r="E24" s="10">
        <v>11.97</v>
      </c>
    </row>
    <row r="25" spans="1:5" x14ac:dyDescent="0.35">
      <c r="A25" s="1" t="s">
        <v>21</v>
      </c>
      <c r="B25" s="10">
        <v>6.11</v>
      </c>
      <c r="C25" s="10">
        <v>5.61</v>
      </c>
      <c r="D25" s="10">
        <v>3.28</v>
      </c>
      <c r="E25" s="10">
        <v>11.89</v>
      </c>
    </row>
    <row r="26" spans="1:5" x14ac:dyDescent="0.35">
      <c r="A26" t="s">
        <v>22</v>
      </c>
    </row>
    <row r="27" spans="1:5" x14ac:dyDescent="0.35">
      <c r="A27" s="1" t="s">
        <v>20</v>
      </c>
      <c r="B27" s="2">
        <v>16215963</v>
      </c>
      <c r="C27" s="2">
        <v>16701272</v>
      </c>
      <c r="D27" s="2">
        <v>17352119</v>
      </c>
      <c r="E27" s="2">
        <v>4617834</v>
      </c>
    </row>
    <row r="28" spans="1:5" x14ac:dyDescent="0.35">
      <c r="A28" s="1" t="s">
        <v>21</v>
      </c>
      <c r="B28" s="2">
        <v>16325819</v>
      </c>
      <c r="C28" s="2">
        <v>16864919</v>
      </c>
      <c r="D28" s="2">
        <v>17528214</v>
      </c>
      <c r="E28" s="2">
        <v>4648913</v>
      </c>
    </row>
    <row r="31" spans="1:5" x14ac:dyDescent="0.35">
      <c r="A31" s="27" t="s">
        <v>24</v>
      </c>
      <c r="B31" s="27"/>
      <c r="C31" s="27"/>
      <c r="D31" s="27"/>
    </row>
    <row r="32" spans="1:5" x14ac:dyDescent="0.35">
      <c r="B32" s="26" t="s">
        <v>142</v>
      </c>
      <c r="C32" s="26"/>
      <c r="D32" s="26"/>
    </row>
    <row r="33" spans="1:5" x14ac:dyDescent="0.35">
      <c r="B33" s="7">
        <f>+B4</f>
        <v>2022</v>
      </c>
      <c r="C33" s="7">
        <f t="shared" ref="C33:D33" si="11">+C4</f>
        <v>2021</v>
      </c>
      <c r="D33" s="7">
        <f t="shared" si="11"/>
        <v>2020</v>
      </c>
      <c r="E33" s="7">
        <v>2019</v>
      </c>
    </row>
    <row r="35" spans="1:5" x14ac:dyDescent="0.35">
      <c r="A35" t="s">
        <v>25</v>
      </c>
    </row>
    <row r="36" spans="1:5" x14ac:dyDescent="0.35">
      <c r="A36" s="1" t="s">
        <v>26</v>
      </c>
      <c r="B36" s="12">
        <v>23646</v>
      </c>
      <c r="C36" s="12">
        <v>34940</v>
      </c>
      <c r="D36" s="12">
        <v>38016</v>
      </c>
      <c r="E36" s="2">
        <v>48844</v>
      </c>
    </row>
    <row r="37" spans="1:5" x14ac:dyDescent="0.35">
      <c r="A37" s="1" t="s">
        <v>27</v>
      </c>
      <c r="B37" s="12">
        <v>24658</v>
      </c>
      <c r="C37" s="12">
        <v>27699</v>
      </c>
      <c r="D37" s="12">
        <v>52927</v>
      </c>
      <c r="E37" s="2">
        <v>51713</v>
      </c>
    </row>
    <row r="38" spans="1:5" x14ac:dyDescent="0.35">
      <c r="A38" s="1" t="s">
        <v>28</v>
      </c>
      <c r="B38" s="12">
        <v>28184</v>
      </c>
      <c r="C38" s="12">
        <v>26278</v>
      </c>
      <c r="D38" s="12">
        <v>16120</v>
      </c>
      <c r="E38" s="2">
        <v>22926</v>
      </c>
    </row>
    <row r="39" spans="1:5" x14ac:dyDescent="0.35">
      <c r="A39" s="1" t="s">
        <v>29</v>
      </c>
      <c r="B39" s="12">
        <v>4946</v>
      </c>
      <c r="C39" s="12">
        <v>6580</v>
      </c>
      <c r="D39" s="12">
        <v>4061</v>
      </c>
      <c r="E39" s="2">
        <v>4106</v>
      </c>
    </row>
    <row r="40" spans="1:5" x14ac:dyDescent="0.35">
      <c r="A40" s="1" t="s">
        <v>47</v>
      </c>
      <c r="B40" s="12">
        <v>32748</v>
      </c>
      <c r="C40" s="12">
        <v>25228</v>
      </c>
      <c r="D40" s="12">
        <v>21325</v>
      </c>
      <c r="E40" s="2">
        <v>22878</v>
      </c>
    </row>
    <row r="41" spans="1:5" x14ac:dyDescent="0.35">
      <c r="A41" s="1" t="s">
        <v>30</v>
      </c>
      <c r="B41" s="12">
        <v>21223</v>
      </c>
      <c r="C41" s="12">
        <v>14111</v>
      </c>
      <c r="D41" s="12">
        <v>11264</v>
      </c>
      <c r="E41" s="2">
        <v>12352</v>
      </c>
    </row>
    <row r="42" spans="1:5" x14ac:dyDescent="0.35">
      <c r="A42" s="8" t="s">
        <v>31</v>
      </c>
      <c r="B42" s="13">
        <f>+SUM(B36:B41)</f>
        <v>135405</v>
      </c>
      <c r="C42" s="13">
        <f t="shared" ref="C42:E42" si="12">+SUM(C36:C41)</f>
        <v>134836</v>
      </c>
      <c r="D42" s="13">
        <f t="shared" si="12"/>
        <v>143713</v>
      </c>
      <c r="E42" s="13">
        <f t="shared" si="12"/>
        <v>162819</v>
      </c>
    </row>
    <row r="43" spans="1:5" x14ac:dyDescent="0.35">
      <c r="A43" t="s">
        <v>48</v>
      </c>
      <c r="B43" s="12"/>
      <c r="C43" s="12"/>
      <c r="D43" s="12"/>
    </row>
    <row r="44" spans="1:5" x14ac:dyDescent="0.35">
      <c r="A44" s="1" t="s">
        <v>27</v>
      </c>
      <c r="B44" s="12">
        <v>120805</v>
      </c>
      <c r="C44" s="12">
        <v>127877</v>
      </c>
      <c r="D44" s="12">
        <v>100887</v>
      </c>
      <c r="E44" s="2">
        <v>105341</v>
      </c>
    </row>
    <row r="45" spans="1:5" x14ac:dyDescent="0.35">
      <c r="A45" s="1" t="s">
        <v>32</v>
      </c>
      <c r="B45" s="12">
        <v>42117</v>
      </c>
      <c r="C45" s="12">
        <v>39440</v>
      </c>
      <c r="D45" s="12">
        <v>36766</v>
      </c>
      <c r="E45" s="2">
        <v>37378</v>
      </c>
    </row>
    <row r="46" spans="1:5" x14ac:dyDescent="0.35">
      <c r="A46" s="1" t="s">
        <v>49</v>
      </c>
      <c r="B46" s="12">
        <v>54428</v>
      </c>
      <c r="C46" s="12">
        <v>48849</v>
      </c>
      <c r="D46" s="12">
        <v>42522</v>
      </c>
      <c r="E46" s="2">
        <v>32978</v>
      </c>
    </row>
    <row r="47" spans="1:5" x14ac:dyDescent="0.35">
      <c r="A47" s="8" t="s">
        <v>50</v>
      </c>
      <c r="B47" s="13">
        <f>+SUM(B44:B46)</f>
        <v>217350</v>
      </c>
      <c r="C47" s="13">
        <f t="shared" ref="C47:D47" si="13">+SUM(C44:C46)</f>
        <v>216166</v>
      </c>
      <c r="D47" s="13">
        <f t="shared" si="13"/>
        <v>180175</v>
      </c>
      <c r="E47" s="13">
        <f t="shared" ref="E47" si="14">+SUM(E44:E46)</f>
        <v>175697</v>
      </c>
    </row>
    <row r="48" spans="1:5" ht="15" thickBot="1" x14ac:dyDescent="0.4">
      <c r="A48" s="9" t="s">
        <v>33</v>
      </c>
      <c r="B48" s="14">
        <f>+B42+B47</f>
        <v>352755</v>
      </c>
      <c r="C48" s="14">
        <f t="shared" ref="C48:D48" si="15">+C42+C47</f>
        <v>351002</v>
      </c>
      <c r="D48" s="14">
        <f t="shared" si="15"/>
        <v>323888</v>
      </c>
      <c r="E48" s="14">
        <f t="shared" ref="E48" si="16">+E42+E47</f>
        <v>338516</v>
      </c>
    </row>
    <row r="49" spans="1:8" ht="15" thickTop="1" x14ac:dyDescent="0.35"/>
    <row r="50" spans="1:8" x14ac:dyDescent="0.35">
      <c r="A50" t="s">
        <v>34</v>
      </c>
    </row>
    <row r="51" spans="1:8" x14ac:dyDescent="0.35">
      <c r="A51" s="1" t="s">
        <v>35</v>
      </c>
      <c r="B51" s="12">
        <v>64115</v>
      </c>
      <c r="C51" s="12">
        <v>54763</v>
      </c>
      <c r="D51" s="12">
        <v>42296</v>
      </c>
      <c r="E51" s="2">
        <v>46236</v>
      </c>
    </row>
    <row r="52" spans="1:8" x14ac:dyDescent="0.35">
      <c r="A52" s="1" t="s">
        <v>36</v>
      </c>
      <c r="B52" s="12">
        <v>60845</v>
      </c>
      <c r="C52" s="12">
        <v>47493</v>
      </c>
      <c r="D52" s="12">
        <v>42684</v>
      </c>
      <c r="E52" s="2">
        <v>37720</v>
      </c>
      <c r="H52" s="28"/>
    </row>
    <row r="53" spans="1:8" x14ac:dyDescent="0.35">
      <c r="A53" s="1" t="s">
        <v>37</v>
      </c>
      <c r="B53" s="12">
        <v>7912</v>
      </c>
      <c r="C53" s="12">
        <v>7612</v>
      </c>
      <c r="D53" s="12">
        <v>6643</v>
      </c>
      <c r="E53" s="2">
        <v>5522</v>
      </c>
    </row>
    <row r="54" spans="1:8" x14ac:dyDescent="0.35">
      <c r="A54" s="1" t="s">
        <v>38</v>
      </c>
      <c r="B54" s="12">
        <v>9982</v>
      </c>
      <c r="C54" s="12">
        <v>6000</v>
      </c>
      <c r="D54" s="12">
        <v>4996</v>
      </c>
      <c r="E54" s="2">
        <v>5980</v>
      </c>
    </row>
    <row r="55" spans="1:8" x14ac:dyDescent="0.35">
      <c r="A55" s="1" t="s">
        <v>39</v>
      </c>
      <c r="B55" s="12">
        <v>11128</v>
      </c>
      <c r="C55" s="12">
        <v>9613</v>
      </c>
      <c r="D55" s="12">
        <v>8773</v>
      </c>
      <c r="E55" s="2">
        <v>10260</v>
      </c>
    </row>
    <row r="56" spans="1:8" x14ac:dyDescent="0.35">
      <c r="A56" s="8" t="s">
        <v>40</v>
      </c>
      <c r="B56" s="13">
        <f>+SUM(B51:B55)</f>
        <v>153982</v>
      </c>
      <c r="C56" s="13">
        <f t="shared" ref="C56:E56" si="17">+SUM(C51:C55)</f>
        <v>125481</v>
      </c>
      <c r="D56" s="13">
        <f t="shared" si="17"/>
        <v>105392</v>
      </c>
      <c r="E56" s="13">
        <f t="shared" si="17"/>
        <v>105718</v>
      </c>
    </row>
    <row r="57" spans="1:8" x14ac:dyDescent="0.35">
      <c r="A57" t="s">
        <v>51</v>
      </c>
      <c r="B57" s="12"/>
      <c r="C57" s="12"/>
      <c r="D57" s="12"/>
    </row>
    <row r="58" spans="1:8" x14ac:dyDescent="0.35">
      <c r="A58" s="1" t="s">
        <v>37</v>
      </c>
      <c r="B58" s="12"/>
      <c r="C58" s="12"/>
      <c r="D58" s="12"/>
    </row>
    <row r="59" spans="1:8" x14ac:dyDescent="0.35">
      <c r="A59" s="1" t="s">
        <v>39</v>
      </c>
      <c r="B59" s="12">
        <v>98959</v>
      </c>
      <c r="C59" s="12">
        <v>109106</v>
      </c>
      <c r="D59" s="12">
        <v>98667</v>
      </c>
      <c r="E59" s="2">
        <v>91807</v>
      </c>
    </row>
    <row r="60" spans="1:8" x14ac:dyDescent="0.35">
      <c r="A60" s="1" t="s">
        <v>52</v>
      </c>
      <c r="B60" s="12">
        <v>49142</v>
      </c>
      <c r="C60" s="12">
        <v>53325</v>
      </c>
      <c r="D60" s="12">
        <v>54490</v>
      </c>
      <c r="E60" s="2">
        <v>50503</v>
      </c>
    </row>
    <row r="61" spans="1:8" x14ac:dyDescent="0.35">
      <c r="A61" s="22" t="s">
        <v>53</v>
      </c>
      <c r="B61" s="21">
        <f>+B59+B60</f>
        <v>148101</v>
      </c>
      <c r="C61" s="21">
        <f t="shared" ref="C61:D61" si="18">+C59+C60</f>
        <v>162431</v>
      </c>
      <c r="D61" s="21">
        <f t="shared" si="18"/>
        <v>153157</v>
      </c>
      <c r="E61" s="21">
        <f t="shared" ref="E61" si="19">+E59+E60</f>
        <v>142310</v>
      </c>
    </row>
    <row r="62" spans="1:8" x14ac:dyDescent="0.35">
      <c r="A62" s="8" t="s">
        <v>41</v>
      </c>
      <c r="B62" s="13">
        <f>+B56+B61</f>
        <v>302083</v>
      </c>
      <c r="C62" s="13">
        <f t="shared" ref="C62:D62" si="20">+C56+C61</f>
        <v>287912</v>
      </c>
      <c r="D62" s="13">
        <f t="shared" si="20"/>
        <v>258549</v>
      </c>
      <c r="E62" s="13">
        <f t="shared" ref="E62" si="21">+E56+E61</f>
        <v>248028</v>
      </c>
    </row>
    <row r="63" spans="1:8" x14ac:dyDescent="0.35">
      <c r="B63" s="12"/>
      <c r="C63" s="12"/>
      <c r="D63" s="12"/>
    </row>
    <row r="64" spans="1:8" x14ac:dyDescent="0.35">
      <c r="A64" t="s">
        <v>42</v>
      </c>
      <c r="B64" s="12"/>
      <c r="C64" s="12"/>
      <c r="D64" s="12"/>
    </row>
    <row r="65" spans="1:5" x14ac:dyDescent="0.35">
      <c r="A65" s="1" t="s">
        <v>54</v>
      </c>
      <c r="B65" s="12">
        <v>64849</v>
      </c>
      <c r="C65" s="12">
        <v>57365</v>
      </c>
      <c r="D65" s="12">
        <v>50779</v>
      </c>
      <c r="E65" s="2">
        <v>45174</v>
      </c>
    </row>
    <row r="66" spans="1:5" x14ac:dyDescent="0.35">
      <c r="A66" s="1" t="s">
        <v>43</v>
      </c>
      <c r="B66" s="12">
        <v>-3068</v>
      </c>
      <c r="C66" s="12">
        <v>5562</v>
      </c>
      <c r="D66" s="12">
        <v>14966</v>
      </c>
      <c r="E66" s="2">
        <v>45898</v>
      </c>
    </row>
    <row r="67" spans="1:5" x14ac:dyDescent="0.35">
      <c r="A67" s="1" t="s">
        <v>44</v>
      </c>
      <c r="B67" s="12">
        <v>-11109</v>
      </c>
      <c r="C67" s="12">
        <v>163</v>
      </c>
      <c r="D67" s="12">
        <v>-406</v>
      </c>
      <c r="E67" s="12">
        <v>-584</v>
      </c>
    </row>
    <row r="68" spans="1:5" x14ac:dyDescent="0.35">
      <c r="A68" s="8" t="s">
        <v>45</v>
      </c>
      <c r="B68" s="13">
        <f>+SUM(B65:B67)</f>
        <v>50672</v>
      </c>
      <c r="C68" s="13">
        <f t="shared" ref="C68:D68" si="22">+SUM(C65:C67)</f>
        <v>63090</v>
      </c>
      <c r="D68" s="13">
        <f t="shared" si="22"/>
        <v>65339</v>
      </c>
      <c r="E68" s="13">
        <f t="shared" ref="E68" si="23">+SUM(E65:E67)</f>
        <v>90488</v>
      </c>
    </row>
    <row r="69" spans="1:5" ht="15" thickBot="1" x14ac:dyDescent="0.4">
      <c r="A69" s="9" t="s">
        <v>46</v>
      </c>
      <c r="B69" s="14">
        <f>+B68+B62</f>
        <v>352755</v>
      </c>
      <c r="C69" s="14">
        <f t="shared" ref="C69:D69" si="24">+C68+C62</f>
        <v>351002</v>
      </c>
      <c r="D69" s="14">
        <f t="shared" si="24"/>
        <v>323888</v>
      </c>
      <c r="E69" s="14">
        <f t="shared" ref="E69" si="25">+E68+E62</f>
        <v>338516</v>
      </c>
    </row>
    <row r="70" spans="1:5" ht="15" thickTop="1" x14ac:dyDescent="0.35"/>
    <row r="71" spans="1:5" x14ac:dyDescent="0.35">
      <c r="A71" s="27" t="s">
        <v>55</v>
      </c>
      <c r="B71" s="27"/>
      <c r="C71" s="27"/>
      <c r="D71" s="27"/>
    </row>
    <row r="72" spans="1:5" x14ac:dyDescent="0.35">
      <c r="B72" s="26" t="s">
        <v>23</v>
      </c>
      <c r="C72" s="26"/>
      <c r="D72" s="26"/>
    </row>
    <row r="73" spans="1:5" x14ac:dyDescent="0.35">
      <c r="B73" s="7">
        <f>+B33</f>
        <v>2022</v>
      </c>
      <c r="C73" s="7">
        <f t="shared" ref="C73:D73" si="26">+C33</f>
        <v>2021</v>
      </c>
      <c r="D73" s="7">
        <f t="shared" si="26"/>
        <v>2020</v>
      </c>
      <c r="E73" s="7">
        <v>2019</v>
      </c>
    </row>
    <row r="75" spans="1:5" x14ac:dyDescent="0.35">
      <c r="A75" s="7" t="s">
        <v>56</v>
      </c>
      <c r="B75" s="15"/>
      <c r="C75" s="15"/>
      <c r="D75" s="15"/>
    </row>
    <row r="76" spans="1:5" x14ac:dyDescent="0.35">
      <c r="A76" t="s">
        <v>57</v>
      </c>
      <c r="B76" s="12">
        <f>+B22</f>
        <v>99803</v>
      </c>
      <c r="C76" s="12">
        <f t="shared" ref="C76:D76" si="27">+C22</f>
        <v>94680</v>
      </c>
      <c r="D76" s="12">
        <f t="shared" si="27"/>
        <v>57411</v>
      </c>
      <c r="E76" s="2">
        <v>55256</v>
      </c>
    </row>
    <row r="77" spans="1:5" x14ac:dyDescent="0.35">
      <c r="A77" s="11" t="s">
        <v>18</v>
      </c>
      <c r="B77" s="15"/>
      <c r="C77" s="15"/>
      <c r="D77" s="15"/>
    </row>
    <row r="78" spans="1:5" x14ac:dyDescent="0.35">
      <c r="A78" s="1" t="s">
        <v>58</v>
      </c>
      <c r="B78" s="12"/>
      <c r="C78" s="12"/>
      <c r="D78" s="12"/>
    </row>
    <row r="79" spans="1:5" x14ac:dyDescent="0.35">
      <c r="A79" s="3" t="s">
        <v>59</v>
      </c>
      <c r="B79" s="12">
        <v>11104</v>
      </c>
      <c r="C79" s="12">
        <v>11284</v>
      </c>
      <c r="D79" s="12">
        <v>11056</v>
      </c>
      <c r="E79" s="2">
        <v>12547</v>
      </c>
    </row>
    <row r="80" spans="1:5" x14ac:dyDescent="0.35">
      <c r="A80" s="3" t="s">
        <v>83</v>
      </c>
      <c r="B80" s="12">
        <v>9038</v>
      </c>
      <c r="C80" s="12">
        <v>7906</v>
      </c>
      <c r="D80" s="12">
        <v>6829</v>
      </c>
      <c r="E80" s="2">
        <v>6068</v>
      </c>
    </row>
    <row r="81" spans="1:5" x14ac:dyDescent="0.35">
      <c r="A81" s="3" t="s">
        <v>60</v>
      </c>
      <c r="B81" s="12">
        <v>895</v>
      </c>
      <c r="C81" s="12">
        <v>-4774</v>
      </c>
      <c r="D81" s="12">
        <v>-215</v>
      </c>
      <c r="E81" s="2">
        <v>-340</v>
      </c>
    </row>
    <row r="82" spans="1:5" x14ac:dyDescent="0.35">
      <c r="A82" s="3" t="s">
        <v>61</v>
      </c>
      <c r="B82" s="12">
        <v>111</v>
      </c>
      <c r="C82" s="12">
        <v>-147</v>
      </c>
      <c r="D82" s="12">
        <v>-97</v>
      </c>
      <c r="E82" s="2">
        <v>-652</v>
      </c>
    </row>
    <row r="83" spans="1:5" x14ac:dyDescent="0.35">
      <c r="A83" t="s">
        <v>62</v>
      </c>
      <c r="B83" s="12"/>
      <c r="C83" s="12"/>
      <c r="D83" s="12"/>
    </row>
    <row r="84" spans="1:5" x14ac:dyDescent="0.35">
      <c r="A84" s="1" t="s">
        <v>28</v>
      </c>
      <c r="B84" s="12">
        <v>-1823</v>
      </c>
      <c r="C84" s="12">
        <v>-10125</v>
      </c>
      <c r="D84" s="12">
        <v>6917</v>
      </c>
      <c r="E84" s="2">
        <v>245</v>
      </c>
    </row>
    <row r="85" spans="1:5" x14ac:dyDescent="0.35">
      <c r="A85" s="1" t="s">
        <v>29</v>
      </c>
      <c r="B85" s="12">
        <v>1484</v>
      </c>
      <c r="C85" s="12">
        <v>-2642</v>
      </c>
      <c r="D85" s="12">
        <v>-127</v>
      </c>
      <c r="E85" s="2">
        <v>-289</v>
      </c>
    </row>
    <row r="86" spans="1:5" x14ac:dyDescent="0.35">
      <c r="A86" s="1" t="s">
        <v>47</v>
      </c>
      <c r="B86" s="12">
        <v>-7520</v>
      </c>
      <c r="C86" s="12">
        <v>-3903</v>
      </c>
      <c r="D86" s="12">
        <v>1553</v>
      </c>
      <c r="E86" s="2">
        <v>2931</v>
      </c>
    </row>
    <row r="87" spans="1:5" x14ac:dyDescent="0.35">
      <c r="A87" s="1" t="s">
        <v>84</v>
      </c>
      <c r="B87" s="12">
        <v>-6499</v>
      </c>
      <c r="C87" s="12">
        <v>-8042</v>
      </c>
      <c r="D87" s="12">
        <v>-9588</v>
      </c>
      <c r="E87" s="2">
        <v>873</v>
      </c>
    </row>
    <row r="88" spans="1:5" x14ac:dyDescent="0.35">
      <c r="A88" s="1" t="s">
        <v>35</v>
      </c>
      <c r="B88" s="12">
        <v>9448</v>
      </c>
      <c r="C88" s="12">
        <v>12326</v>
      </c>
      <c r="D88" s="12">
        <v>-4062</v>
      </c>
      <c r="E88" s="2">
        <v>-1923</v>
      </c>
    </row>
    <row r="89" spans="1:5" x14ac:dyDescent="0.35">
      <c r="A89" s="1" t="s">
        <v>37</v>
      </c>
      <c r="B89" s="12">
        <v>478</v>
      </c>
      <c r="C89" s="12">
        <v>1676</v>
      </c>
      <c r="D89" s="12">
        <v>2081</v>
      </c>
      <c r="E89" s="2">
        <v>-625</v>
      </c>
    </row>
    <row r="90" spans="1:5" x14ac:dyDescent="0.35">
      <c r="A90" s="1" t="s">
        <v>85</v>
      </c>
      <c r="B90" s="12">
        <v>5632</v>
      </c>
      <c r="C90" s="12">
        <v>5799</v>
      </c>
      <c r="D90" s="12">
        <v>8916</v>
      </c>
      <c r="E90" s="2">
        <v>-4700</v>
      </c>
    </row>
    <row r="91" spans="1:5" x14ac:dyDescent="0.35">
      <c r="A91" s="8" t="s">
        <v>63</v>
      </c>
      <c r="B91" s="13">
        <f>+SUM(B76:B90)</f>
        <v>122151</v>
      </c>
      <c r="C91" s="13">
        <f t="shared" ref="C91:E91" si="28">+SUM(C76:C90)</f>
        <v>104038</v>
      </c>
      <c r="D91" s="13">
        <f t="shared" si="28"/>
        <v>80674</v>
      </c>
      <c r="E91" s="13">
        <f t="shared" si="28"/>
        <v>69391</v>
      </c>
    </row>
    <row r="92" spans="1:5" x14ac:dyDescent="0.35">
      <c r="A92" s="7" t="s">
        <v>64</v>
      </c>
      <c r="B92" s="12"/>
      <c r="C92" s="12"/>
      <c r="D92" s="12"/>
    </row>
    <row r="93" spans="1:5" x14ac:dyDescent="0.35">
      <c r="A93" s="1" t="s">
        <v>65</v>
      </c>
      <c r="B93" s="12">
        <v>-76923</v>
      </c>
      <c r="C93" s="12">
        <v>-109558</v>
      </c>
      <c r="D93" s="12">
        <v>-114938</v>
      </c>
      <c r="E93" s="2">
        <v>-39630</v>
      </c>
    </row>
    <row r="94" spans="1:5" x14ac:dyDescent="0.35">
      <c r="A94" s="1" t="s">
        <v>66</v>
      </c>
      <c r="B94" s="12">
        <v>29917</v>
      </c>
      <c r="C94" s="12">
        <v>59023</v>
      </c>
      <c r="D94" s="12">
        <v>69918</v>
      </c>
      <c r="E94" s="2">
        <v>40102</v>
      </c>
    </row>
    <row r="95" spans="1:5" x14ac:dyDescent="0.35">
      <c r="A95" s="1" t="s">
        <v>67</v>
      </c>
      <c r="B95" s="12">
        <v>37446</v>
      </c>
      <c r="C95" s="12">
        <v>47460</v>
      </c>
      <c r="D95" s="12">
        <v>50473</v>
      </c>
      <c r="E95" s="2">
        <v>56988</v>
      </c>
    </row>
    <row r="96" spans="1:5" x14ac:dyDescent="0.35">
      <c r="A96" s="1" t="s">
        <v>68</v>
      </c>
      <c r="B96" s="12">
        <v>-10708</v>
      </c>
      <c r="C96" s="12">
        <v>-11085</v>
      </c>
      <c r="D96" s="12">
        <v>-7309</v>
      </c>
      <c r="E96" s="2">
        <v>-10495</v>
      </c>
    </row>
    <row r="97" spans="1:5" x14ac:dyDescent="0.35">
      <c r="A97" s="1" t="s">
        <v>69</v>
      </c>
      <c r="B97" s="12">
        <v>-306</v>
      </c>
      <c r="C97" s="12">
        <v>-33</v>
      </c>
      <c r="D97" s="12">
        <v>-1524</v>
      </c>
      <c r="E97" s="2">
        <v>-624</v>
      </c>
    </row>
    <row r="98" spans="1:5" x14ac:dyDescent="0.35">
      <c r="A98" s="1" t="s">
        <v>61</v>
      </c>
      <c r="B98" s="12">
        <v>-1780</v>
      </c>
      <c r="C98" s="12">
        <v>-352</v>
      </c>
      <c r="D98" s="12">
        <v>-909</v>
      </c>
      <c r="E98" s="2">
        <v>-1078</v>
      </c>
    </row>
    <row r="99" spans="1:5" x14ac:dyDescent="0.35">
      <c r="A99" s="8" t="s">
        <v>70</v>
      </c>
      <c r="B99" s="13">
        <f>+SUM(B93:B98)</f>
        <v>-22354</v>
      </c>
      <c r="C99" s="13">
        <f t="shared" ref="C99:D99" si="29">+SUM(C93:C98)</f>
        <v>-14545</v>
      </c>
      <c r="D99" s="13">
        <f t="shared" si="29"/>
        <v>-4289</v>
      </c>
      <c r="E99" s="13">
        <v>45896</v>
      </c>
    </row>
    <row r="100" spans="1:5" x14ac:dyDescent="0.35">
      <c r="A100" s="7" t="s">
        <v>71</v>
      </c>
      <c r="B100" s="12"/>
      <c r="C100" s="12"/>
      <c r="D100" s="12"/>
    </row>
    <row r="101" spans="1:5" x14ac:dyDescent="0.35">
      <c r="A101" s="1" t="s">
        <v>86</v>
      </c>
      <c r="B101" s="12">
        <v>-6223</v>
      </c>
      <c r="C101" s="12">
        <v>-6556</v>
      </c>
      <c r="D101" s="12">
        <v>-3634</v>
      </c>
      <c r="E101" s="2">
        <v>-2817</v>
      </c>
    </row>
    <row r="102" spans="1:5" x14ac:dyDescent="0.35">
      <c r="A102" s="1" t="s">
        <v>72</v>
      </c>
      <c r="B102" s="12">
        <v>-14841</v>
      </c>
      <c r="C102" s="12">
        <v>-14467</v>
      </c>
      <c r="D102" s="12">
        <v>-14081</v>
      </c>
      <c r="E102" s="2">
        <v>-14119</v>
      </c>
    </row>
    <row r="103" spans="1:5" x14ac:dyDescent="0.35">
      <c r="A103" s="1" t="s">
        <v>73</v>
      </c>
      <c r="B103" s="12">
        <v>-89402</v>
      </c>
      <c r="C103" s="12">
        <v>-85971</v>
      </c>
      <c r="D103" s="12">
        <v>-72358</v>
      </c>
      <c r="E103" s="2">
        <v>-66897</v>
      </c>
    </row>
    <row r="104" spans="1:5" x14ac:dyDescent="0.35">
      <c r="A104" s="1" t="s">
        <v>74</v>
      </c>
      <c r="B104" s="12">
        <v>5465</v>
      </c>
      <c r="C104" s="12">
        <v>20393</v>
      </c>
      <c r="D104" s="12">
        <v>16091</v>
      </c>
      <c r="E104" s="2">
        <v>6963</v>
      </c>
    </row>
    <row r="105" spans="1:5" x14ac:dyDescent="0.35">
      <c r="A105" s="1" t="s">
        <v>75</v>
      </c>
      <c r="B105" s="12">
        <v>-9543</v>
      </c>
      <c r="C105" s="12">
        <v>-8750</v>
      </c>
      <c r="D105" s="12">
        <v>-12629</v>
      </c>
      <c r="E105" s="2">
        <v>-8805</v>
      </c>
    </row>
    <row r="106" spans="1:5" x14ac:dyDescent="0.35">
      <c r="A106" s="1" t="s">
        <v>76</v>
      </c>
      <c r="B106" s="12">
        <v>3955</v>
      </c>
      <c r="C106" s="12">
        <v>1022</v>
      </c>
      <c r="D106" s="12">
        <v>-963</v>
      </c>
      <c r="E106" s="2">
        <v>-5977</v>
      </c>
    </row>
    <row r="107" spans="1:5" x14ac:dyDescent="0.35">
      <c r="A107" s="1" t="s">
        <v>61</v>
      </c>
      <c r="B107" s="12">
        <v>-160</v>
      </c>
      <c r="C107" s="12">
        <v>976</v>
      </c>
      <c r="D107" s="12">
        <v>754</v>
      </c>
      <c r="E107" s="2">
        <v>-105</v>
      </c>
    </row>
    <row r="108" spans="1:5" x14ac:dyDescent="0.35">
      <c r="A108" s="8" t="s">
        <v>77</v>
      </c>
      <c r="B108" s="13">
        <f>+SUM(B101:B107)</f>
        <v>-110749</v>
      </c>
      <c r="C108" s="13">
        <f t="shared" ref="C108:D108" si="30">+SUM(C101:C107)</f>
        <v>-93353</v>
      </c>
      <c r="D108" s="13">
        <f t="shared" si="30"/>
        <v>-86820</v>
      </c>
      <c r="E108" s="2">
        <v>-90976</v>
      </c>
    </row>
    <row r="109" spans="1:5" x14ac:dyDescent="0.35">
      <c r="A109" s="8" t="s">
        <v>78</v>
      </c>
      <c r="B109" s="13">
        <f>+B91+B99+B108</f>
        <v>-10952</v>
      </c>
      <c r="C109" s="13">
        <f t="shared" ref="C109:D109" si="31">+C91+C99+C108</f>
        <v>-3860</v>
      </c>
      <c r="D109" s="13">
        <f t="shared" si="31"/>
        <v>-10435</v>
      </c>
      <c r="E109" s="2">
        <v>24311</v>
      </c>
    </row>
    <row r="110" spans="1:5" ht="15" thickBot="1" x14ac:dyDescent="0.4">
      <c r="A110" s="9" t="s">
        <v>79</v>
      </c>
      <c r="B110" s="14">
        <v>24977</v>
      </c>
      <c r="C110" s="14">
        <v>35929</v>
      </c>
      <c r="D110" s="14">
        <v>39789</v>
      </c>
      <c r="E110" s="2">
        <v>50224</v>
      </c>
    </row>
    <row r="111" spans="1:5" ht="15" thickTop="1" x14ac:dyDescent="0.35">
      <c r="B111" s="12"/>
      <c r="C111" s="12"/>
      <c r="D111" s="12"/>
    </row>
    <row r="112" spans="1:5" x14ac:dyDescent="0.35">
      <c r="A112" t="s">
        <v>80</v>
      </c>
      <c r="B112" s="12"/>
      <c r="C112" s="12"/>
      <c r="D112" s="12"/>
    </row>
    <row r="113" spans="1:5" x14ac:dyDescent="0.35">
      <c r="A113" t="s">
        <v>81</v>
      </c>
      <c r="B113" s="12">
        <v>19573</v>
      </c>
      <c r="C113" s="12">
        <v>25385</v>
      </c>
      <c r="D113" s="12">
        <v>9501</v>
      </c>
      <c r="E113" s="2">
        <v>15263</v>
      </c>
    </row>
    <row r="114" spans="1:5" x14ac:dyDescent="0.35">
      <c r="A114" t="s">
        <v>82</v>
      </c>
      <c r="B114" s="12">
        <v>2865</v>
      </c>
      <c r="C114" s="12">
        <v>2687</v>
      </c>
      <c r="D114" s="12">
        <v>3002</v>
      </c>
      <c r="E114" s="2">
        <v>3423</v>
      </c>
    </row>
  </sheetData>
  <mergeCells count="6">
    <mergeCell ref="B3:D3"/>
    <mergeCell ref="B32:D32"/>
    <mergeCell ref="B72:D72"/>
    <mergeCell ref="A2:D2"/>
    <mergeCell ref="A31:D31"/>
    <mergeCell ref="A71:D7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2"/>
  <sheetViews>
    <sheetView tabSelected="1" workbookViewId="0">
      <selection activeCell="C25" sqref="C25"/>
    </sheetView>
  </sheetViews>
  <sheetFormatPr defaultRowHeight="14.5" x14ac:dyDescent="0.35"/>
  <cols>
    <col min="1" max="1" width="4.6328125" customWidth="1"/>
    <col min="2" max="2" width="44.90625" customWidth="1"/>
    <col min="3" max="5" width="16.453125" bestFit="1" customWidth="1"/>
    <col min="7" max="7" width="49.90625" customWidth="1"/>
  </cols>
  <sheetData>
    <row r="1" spans="1:10" ht="60" customHeight="1" x14ac:dyDescent="0.6">
      <c r="A1" s="6"/>
      <c r="B1" s="20" t="s">
        <v>0</v>
      </c>
      <c r="C1" s="19"/>
      <c r="D1" s="19"/>
      <c r="E1" s="19"/>
      <c r="F1" s="19"/>
      <c r="G1" s="25" t="s">
        <v>168</v>
      </c>
      <c r="H1" s="19"/>
      <c r="I1" s="19"/>
      <c r="J1" s="19"/>
    </row>
    <row r="2" spans="1:10" x14ac:dyDescent="0.35">
      <c r="C2" s="26" t="s">
        <v>23</v>
      </c>
      <c r="D2" s="26"/>
      <c r="E2" s="26"/>
    </row>
    <row r="3" spans="1:10" x14ac:dyDescent="0.35">
      <c r="C3" s="7">
        <f>+'Financial Statements'!B4</f>
        <v>2022</v>
      </c>
      <c r="D3" s="7">
        <f>+'Financial Statements'!C4</f>
        <v>2021</v>
      </c>
      <c r="E3" s="7">
        <f>+'Financial Statements'!D4</f>
        <v>2020</v>
      </c>
    </row>
    <row r="4" spans="1:10" x14ac:dyDescent="0.35">
      <c r="A4" s="18">
        <v>1</v>
      </c>
      <c r="B4" s="7" t="s">
        <v>99</v>
      </c>
    </row>
    <row r="5" spans="1:10" x14ac:dyDescent="0.35">
      <c r="A5" s="18">
        <f>+A4+0.1</f>
        <v>1.1000000000000001</v>
      </c>
      <c r="B5" s="1" t="s">
        <v>100</v>
      </c>
      <c r="C5" s="24">
        <f>'Financial Statements'!B42/'Financial Statements'!B56</f>
        <v>0.87935602862672257</v>
      </c>
      <c r="D5" s="24">
        <f>'Financial Statements'!C42/'Financial Statements'!C56</f>
        <v>1.0745531195957954</v>
      </c>
      <c r="E5" s="24">
        <f>'Financial Statements'!D42/'Financial Statements'!D56</f>
        <v>1.3636044481554577</v>
      </c>
    </row>
    <row r="6" spans="1:10" x14ac:dyDescent="0.35">
      <c r="A6" s="18">
        <f t="shared" ref="A6:A13" si="0">+A5+0.1</f>
        <v>1.2000000000000002</v>
      </c>
      <c r="B6" s="1" t="s">
        <v>101</v>
      </c>
      <c r="C6" s="24">
        <f>('Financial Statements'!B42-'Financial Statements'!B39)/'Financial Statements'!B56</f>
        <v>0.84723539114961488</v>
      </c>
      <c r="D6" s="24">
        <f>('Financial Statements'!C42-'Financial Statements'!C39)/'Financial Statements'!C56</f>
        <v>1.0221149018576519</v>
      </c>
      <c r="E6" s="24">
        <f>('Financial Statements'!D42-'Financial Statements'!D39)/'Financial Statements'!D56</f>
        <v>1.325072111735236</v>
      </c>
    </row>
    <row r="7" spans="1:10" x14ac:dyDescent="0.35">
      <c r="A7" s="18">
        <f t="shared" si="0"/>
        <v>1.3000000000000003</v>
      </c>
      <c r="B7" s="1" t="s">
        <v>102</v>
      </c>
      <c r="C7" s="24">
        <f>'Financial Statements'!B36/'Financial Statements'!B56</f>
        <v>0.15356340351469652</v>
      </c>
      <c r="D7" s="24">
        <f>'Financial Statements'!C36/'Financial Statements'!C56</f>
        <v>0.27844853005634318</v>
      </c>
      <c r="E7" s="24">
        <f>'Financial Statements'!D36/'Financial Statements'!D56</f>
        <v>0.36071049035979963</v>
      </c>
    </row>
    <row r="8" spans="1:10" x14ac:dyDescent="0.35">
      <c r="A8" s="18">
        <f t="shared" si="0"/>
        <v>1.4000000000000004</v>
      </c>
      <c r="B8" s="1" t="s">
        <v>103</v>
      </c>
      <c r="C8" s="24">
        <f>'Financial Statements'!B42/(('Financial Statements'!B17-('Financial Statements'!B79+'Financial Statements'!B80+'Financial Statements'!B81))/365)</f>
        <v>1630.6857925300253</v>
      </c>
      <c r="D8" s="24">
        <f>'Financial Statements'!C42/(('Financial Statements'!C17-('Financial Statements'!C79+'Financial Statements'!C80+'Financial Statements'!C81))/365)</f>
        <v>1669.9514777238642</v>
      </c>
      <c r="E8" s="24">
        <f>'Financial Statements'!D42/(('Financial Statements'!D17-('Financial Statements'!D79+'Financial Statements'!D80+'Financial Statements'!D81))/365)</f>
        <v>2498.1067244499477</v>
      </c>
      <c r="G8" t="s">
        <v>161</v>
      </c>
    </row>
    <row r="9" spans="1:10" x14ac:dyDescent="0.35">
      <c r="A9" s="18">
        <f t="shared" si="0"/>
        <v>1.5000000000000004</v>
      </c>
      <c r="B9" s="1" t="s">
        <v>104</v>
      </c>
      <c r="C9" s="24">
        <f>'Financial Statements'!B39/'Financial Statements'!B12*365</f>
        <v>8.0756980666171607</v>
      </c>
      <c r="D9" s="24">
        <f>'Financial Statements'!C39/'Financial Statements'!C12*365</f>
        <v>11.27659274770989</v>
      </c>
      <c r="E9" s="24">
        <f>'Financial Statements'!D39/'Financial Statements'!D12*366</f>
        <v>8.7658337215954329</v>
      </c>
    </row>
    <row r="10" spans="1:10" x14ac:dyDescent="0.35">
      <c r="A10" s="18">
        <f t="shared" si="0"/>
        <v>1.6000000000000005</v>
      </c>
      <c r="B10" s="1" t="s">
        <v>105</v>
      </c>
      <c r="C10" s="24">
        <f>'Financial Statements'!B51*365/'Financial Statements'!B12</f>
        <v>104.68527730310539</v>
      </c>
      <c r="D10" s="24">
        <f>'Financial Statements'!C51*365/'Financial Statements'!C12</f>
        <v>93.85107122231561</v>
      </c>
      <c r="E10" s="24">
        <f>'Financial Statements'!D51*366/'Financial Statements'!D12</f>
        <v>91.297636810785633</v>
      </c>
    </row>
    <row r="11" spans="1:10" x14ac:dyDescent="0.35">
      <c r="A11" s="18">
        <f t="shared" si="0"/>
        <v>1.7000000000000006</v>
      </c>
      <c r="B11" s="1" t="s">
        <v>106</v>
      </c>
      <c r="C11" s="24">
        <f>'Financial Statements'!B38/'Financial Statements'!B8*365</f>
        <v>26.087825363656648</v>
      </c>
      <c r="D11" s="24">
        <f>'Financial Statements'!C38/'Financial Statements'!C8*365</f>
        <v>26.219311841713207</v>
      </c>
      <c r="E11" s="24">
        <f>'Financial Statements'!D38/'Financial Statements'!D8*366</f>
        <v>21.49215889842085</v>
      </c>
    </row>
    <row r="12" spans="1:10" x14ac:dyDescent="0.35">
      <c r="A12" s="18">
        <f t="shared" si="0"/>
        <v>1.8000000000000007</v>
      </c>
      <c r="B12" s="1" t="s">
        <v>107</v>
      </c>
      <c r="C12" s="24">
        <f>C9+C11-C10</f>
        <v>-70.521753872831582</v>
      </c>
      <c r="D12" s="24">
        <f t="shared" ref="D12:E12" si="1">D9+D11-D10</f>
        <v>-56.355166632892512</v>
      </c>
      <c r="E12" s="24">
        <f t="shared" si="1"/>
        <v>-61.039644190769351</v>
      </c>
    </row>
    <row r="13" spans="1:10" x14ac:dyDescent="0.35">
      <c r="A13" s="18">
        <f t="shared" si="0"/>
        <v>1.9000000000000008</v>
      </c>
      <c r="B13" s="1" t="s">
        <v>108</v>
      </c>
      <c r="C13" s="23">
        <f>C14/'Financial Statements'!B8</f>
        <v>-4.711052727678481E-2</v>
      </c>
      <c r="D13" s="23">
        <f>D14/'Financial Statements'!C8</f>
        <v>2.557289573748623E-2</v>
      </c>
      <c r="E13" s="23">
        <f>E14/'Financial Statements'!D8</f>
        <v>0.13959528623208203</v>
      </c>
    </row>
    <row r="14" spans="1:10" x14ac:dyDescent="0.35">
      <c r="A14" s="18"/>
      <c r="B14" s="3" t="s">
        <v>109</v>
      </c>
      <c r="C14" s="24">
        <f>'Financial Statements'!B42-'Financial Statements'!B56</f>
        <v>-18577</v>
      </c>
      <c r="D14" s="24">
        <f>'Financial Statements'!C42-'Financial Statements'!C56</f>
        <v>9355</v>
      </c>
      <c r="E14" s="24">
        <f>'Financial Statements'!D42-'Financial Statements'!D56</f>
        <v>38321</v>
      </c>
      <c r="F14" s="24"/>
    </row>
    <row r="15" spans="1:10" x14ac:dyDescent="0.35">
      <c r="A15" s="18"/>
    </row>
    <row r="16" spans="1:10" x14ac:dyDescent="0.35">
      <c r="A16" s="18">
        <f>+A4+1</f>
        <v>2</v>
      </c>
      <c r="B16" s="17" t="s">
        <v>110</v>
      </c>
    </row>
    <row r="17" spans="1:7" x14ac:dyDescent="0.35">
      <c r="A17" s="18">
        <f>+A16+0.1</f>
        <v>2.1</v>
      </c>
      <c r="B17" s="1" t="s">
        <v>9</v>
      </c>
      <c r="C17" s="23">
        <f>'Financial Statements'!B13/'Financial Statements'!B8</f>
        <v>0.43309630561360085</v>
      </c>
      <c r="D17" s="23">
        <f>'Financial Statements'!C13/'Financial Statements'!C8</f>
        <v>0.41779359625167778</v>
      </c>
      <c r="E17" s="23">
        <f>'Financial Statements'!D13/'Financial Statements'!D8</f>
        <v>0.38233247727810865</v>
      </c>
    </row>
    <row r="18" spans="1:7" x14ac:dyDescent="0.35">
      <c r="A18" s="18">
        <f>+A17+0.1</f>
        <v>2.2000000000000002</v>
      </c>
      <c r="B18" s="1" t="s">
        <v>111</v>
      </c>
      <c r="C18" s="23">
        <f>C19/'Financial Statements'!B8</f>
        <v>0.33019973220263332</v>
      </c>
      <c r="D18" s="23">
        <f>D19/'Financial Statements'!C8</f>
        <v>0.32937507004868555</v>
      </c>
      <c r="E18" s="23">
        <f>E19/'Financial Statements'!D8</f>
        <v>0.28467296869023551</v>
      </c>
    </row>
    <row r="19" spans="1:7" x14ac:dyDescent="0.35">
      <c r="A19" s="18"/>
      <c r="B19" s="3" t="s">
        <v>112</v>
      </c>
      <c r="C19" s="24">
        <f>'Financial Statements'!B20+'Financial Statements'!B79</f>
        <v>130207</v>
      </c>
      <c r="D19" s="24">
        <f>'Financial Statements'!C20+'Financial Statements'!C79</f>
        <v>120491</v>
      </c>
      <c r="E19" s="24">
        <f>'Financial Statements'!D20+'Financial Statements'!D79</f>
        <v>78147</v>
      </c>
    </row>
    <row r="20" spans="1:7" x14ac:dyDescent="0.35">
      <c r="A20" s="18">
        <f>+A18+0.1</f>
        <v>2.3000000000000003</v>
      </c>
      <c r="B20" s="1" t="s">
        <v>113</v>
      </c>
      <c r="C20" s="23">
        <f>C21/'Financial Statements'!B8</f>
        <v>0.30204043334482966</v>
      </c>
      <c r="D20" s="23">
        <f>D21/'Financial Statements'!C8</f>
        <v>0.29852904594373691</v>
      </c>
      <c r="E20" s="23">
        <f>E21/'Financial Statements'!D8</f>
        <v>0.24439830246070343</v>
      </c>
    </row>
    <row r="21" spans="1:7" x14ac:dyDescent="0.35">
      <c r="A21" s="18"/>
      <c r="B21" s="3" t="s">
        <v>114</v>
      </c>
      <c r="C21" s="24">
        <f>'Financial Statements'!B20</f>
        <v>119103</v>
      </c>
      <c r="D21" s="24">
        <f>'Financial Statements'!C20</f>
        <v>109207</v>
      </c>
      <c r="E21" s="24">
        <f>'Financial Statements'!D20</f>
        <v>67091</v>
      </c>
    </row>
    <row r="22" spans="1:7" x14ac:dyDescent="0.35">
      <c r="A22" s="18">
        <f>+A20+0.1</f>
        <v>2.4000000000000004</v>
      </c>
      <c r="B22" s="1" t="s">
        <v>115</v>
      </c>
      <c r="C22" s="23">
        <f>'Financial Statements'!B22/'Financial Statements'!B8</f>
        <v>0.25309640705199732</v>
      </c>
      <c r="D22" s="23">
        <f>'Financial Statements'!C22/'Financial Statements'!C8</f>
        <v>0.25881793355694238</v>
      </c>
      <c r="E22" s="23">
        <f>'Financial Statements'!D22/'Financial Statements'!D8</f>
        <v>0.20913611278072236</v>
      </c>
    </row>
    <row r="23" spans="1:7" x14ac:dyDescent="0.35">
      <c r="A23" s="18"/>
    </row>
    <row r="24" spans="1:7" x14ac:dyDescent="0.35">
      <c r="A24" s="18">
        <f>+A16+1</f>
        <v>3</v>
      </c>
      <c r="B24" s="7" t="s">
        <v>116</v>
      </c>
    </row>
    <row r="25" spans="1:7" x14ac:dyDescent="0.35">
      <c r="A25" s="18">
        <f>+A24+0.1</f>
        <v>3.1</v>
      </c>
      <c r="B25" s="1" t="s">
        <v>117</v>
      </c>
      <c r="C25" s="24">
        <f>('Financial Statements'!B59)/'Financial Statements'!B68</f>
        <v>1.9529325860435744</v>
      </c>
      <c r="D25" s="24">
        <f>('Financial Statements'!C59)/'Financial Statements'!C68</f>
        <v>1.729370740212395</v>
      </c>
      <c r="E25" s="24">
        <f>('Financial Statements'!D59)/'Financial Statements'!D68</f>
        <v>1.5100782075024104</v>
      </c>
      <c r="G25" t="s">
        <v>169</v>
      </c>
    </row>
    <row r="26" spans="1:7" x14ac:dyDescent="0.35">
      <c r="A26" s="18">
        <f t="shared" ref="A26:A30" si="2">+A25+0.1</f>
        <v>3.2</v>
      </c>
      <c r="B26" s="1" t="s">
        <v>118</v>
      </c>
      <c r="C26" s="24">
        <f>('Financial Statements'!B59)/'Financial Statements'!B48</f>
        <v>0.28053181386514719</v>
      </c>
      <c r="D26" s="24">
        <f>('Financial Statements'!C59)/'Financial Statements'!C48</f>
        <v>0.31084153366647482</v>
      </c>
      <c r="E26" s="24">
        <f>('Financial Statements'!D59)/'Financial Statements'!D48</f>
        <v>0.30463308304105124</v>
      </c>
      <c r="G26" t="s">
        <v>169</v>
      </c>
    </row>
    <row r="27" spans="1:7" x14ac:dyDescent="0.35">
      <c r="A27" s="18">
        <f t="shared" si="2"/>
        <v>3.3000000000000003</v>
      </c>
      <c r="B27" s="1" t="s">
        <v>119</v>
      </c>
      <c r="C27" s="24">
        <f>'Financial Statements'!B59/('Financial Statements'!B59+'Financial Statements'!B68)</f>
        <v>0.66135359651409131</v>
      </c>
      <c r="D27" s="24">
        <f>'Financial Statements'!C59/('Financial Statements'!C59+'Financial Statements'!C68)</f>
        <v>0.63361518269878514</v>
      </c>
      <c r="E27" s="24">
        <f>'Financial Statements'!D59/('Financial Statements'!D59+'Financial Statements'!D68)</f>
        <v>0.60160603880345842</v>
      </c>
      <c r="G27" t="s">
        <v>162</v>
      </c>
    </row>
    <row r="28" spans="1:7" x14ac:dyDescent="0.35">
      <c r="A28" s="18">
        <f t="shared" si="2"/>
        <v>3.4000000000000004</v>
      </c>
      <c r="B28" s="1" t="s">
        <v>120</v>
      </c>
      <c r="C28" s="24">
        <f>C21/'Financial Statements'!B114</f>
        <v>41.571727748691103</v>
      </c>
      <c r="D28" s="24">
        <f>D21/'Financial Statements'!C114</f>
        <v>40.642724227763303</v>
      </c>
      <c r="E28" s="24">
        <f>E21/'Financial Statements'!D114</f>
        <v>22.348767488341107</v>
      </c>
      <c r="G28" t="s">
        <v>163</v>
      </c>
    </row>
    <row r="29" spans="1:7" x14ac:dyDescent="0.35">
      <c r="A29" s="18">
        <f t="shared" si="2"/>
        <v>3.5000000000000004</v>
      </c>
      <c r="B29" s="1" t="s">
        <v>121</v>
      </c>
      <c r="C29" s="24">
        <f>-C21/('Financial Statements'!B114+'Financial Statements'!B105)</f>
        <v>17.835130278526506</v>
      </c>
      <c r="D29" s="24">
        <f>-D21/('Financial Statements'!C114+'Financial Statements'!C105)</f>
        <v>18.012040244103581</v>
      </c>
      <c r="E29" s="24">
        <f>-E21/('Financial Statements'!D114+'Financial Statements'!D105)</f>
        <v>6.9690453931650564</v>
      </c>
      <c r="G29" t="s">
        <v>164</v>
      </c>
    </row>
    <row r="30" spans="1:7" x14ac:dyDescent="0.35">
      <c r="A30" s="18">
        <f t="shared" si="2"/>
        <v>3.6000000000000005</v>
      </c>
      <c r="B30" s="1" t="s">
        <v>122</v>
      </c>
      <c r="C30" s="24">
        <f>C31/'Financial Statements'!B28*1000</f>
        <v>7.7980773889505945</v>
      </c>
      <c r="D30" s="24">
        <f>D31/'Financial Statements'!C28*1000</f>
        <v>7.3761397846025831</v>
      </c>
      <c r="E30" s="24">
        <f>E31/'Financial Statements'!D28*1000</f>
        <v>5.4335826799011011</v>
      </c>
    </row>
    <row r="31" spans="1:7" x14ac:dyDescent="0.35">
      <c r="A31" s="18"/>
      <c r="B31" s="3" t="s">
        <v>123</v>
      </c>
      <c r="C31" s="24">
        <f>'Financial Statements'!B91+'Financial Statements'!B97+'Financial Statements'!B104</f>
        <v>127310</v>
      </c>
      <c r="D31" s="24">
        <f>'Financial Statements'!C91+'Financial Statements'!C97+'Financial Statements'!C104</f>
        <v>124398</v>
      </c>
      <c r="E31" s="24">
        <f>'Financial Statements'!D91+'Financial Statements'!D97+'Financial Statements'!D104</f>
        <v>95241</v>
      </c>
      <c r="G31" t="s">
        <v>165</v>
      </c>
    </row>
    <row r="32" spans="1:7" x14ac:dyDescent="0.35">
      <c r="A32" s="18"/>
      <c r="B32" s="3" t="s">
        <v>160</v>
      </c>
      <c r="C32" s="24">
        <f>'Financial Statements'!B55+'Financial Statements'!B59-'Financial Statements'!B36</f>
        <v>86441</v>
      </c>
      <c r="D32" s="24">
        <f>'Financial Statements'!C55+'Financial Statements'!C59-'Financial Statements'!C36</f>
        <v>83779</v>
      </c>
      <c r="E32" s="24">
        <f>'Financial Statements'!D55+'Financial Statements'!D59-'Financial Statements'!D36</f>
        <v>69424</v>
      </c>
    </row>
    <row r="33" spans="1:7" x14ac:dyDescent="0.35">
      <c r="A33" s="18"/>
      <c r="B33" s="1" t="s">
        <v>159</v>
      </c>
      <c r="C33" s="24">
        <f>C14-D14</f>
        <v>-27932</v>
      </c>
      <c r="D33" s="24">
        <f>D14-E14</f>
        <v>-28966</v>
      </c>
      <c r="E33" s="24">
        <f>E14-57101</f>
        <v>-18780</v>
      </c>
    </row>
    <row r="34" spans="1:7" x14ac:dyDescent="0.35">
      <c r="A34" s="18"/>
    </row>
    <row r="35" spans="1:7" x14ac:dyDescent="0.35">
      <c r="A35" s="18">
        <f>+A24+1</f>
        <v>4</v>
      </c>
      <c r="B35" s="17" t="s">
        <v>124</v>
      </c>
    </row>
    <row r="36" spans="1:7" x14ac:dyDescent="0.35">
      <c r="A36" s="18">
        <f>+A35+0.1</f>
        <v>4.0999999999999996</v>
      </c>
      <c r="B36" s="1" t="s">
        <v>125</v>
      </c>
      <c r="C36" s="24">
        <f>'Financial Statements'!B8/'Financial Statements'!B48</f>
        <v>1.1178523337727317</v>
      </c>
      <c r="D36" s="24">
        <f>'Financial Statements'!C8/'Financial Statements'!C48</f>
        <v>1.0422077367080529</v>
      </c>
      <c r="E36" s="24">
        <f>'Financial Statements'!D8/'Financial Statements'!D48</f>
        <v>0.84756150274168851</v>
      </c>
    </row>
    <row r="37" spans="1:7" x14ac:dyDescent="0.35">
      <c r="A37" s="18">
        <f t="shared" ref="A37:A39" si="3">+A36+0.1</f>
        <v>4.1999999999999993</v>
      </c>
      <c r="B37" s="1" t="s">
        <v>126</v>
      </c>
      <c r="C37" s="24">
        <f>'Financial Statements'!B8/'Financial Statements'!B45</f>
        <v>9.3626801529073767</v>
      </c>
      <c r="D37" s="24">
        <f>'Financial Statements'!C8/'Financial Statements'!C45</f>
        <v>9.2752789046653152</v>
      </c>
      <c r="E37" s="24">
        <f>'Financial Statements'!D8/'Financial Statements'!D45</f>
        <v>7.4665451776097482</v>
      </c>
    </row>
    <row r="38" spans="1:7" x14ac:dyDescent="0.35">
      <c r="A38" s="18">
        <f t="shared" si="3"/>
        <v>4.2999999999999989</v>
      </c>
      <c r="B38" s="1" t="s">
        <v>127</v>
      </c>
      <c r="C38" s="24">
        <f>'Financial Statements'!B12/'Financial Statements'!B39</f>
        <v>45.197331176708452</v>
      </c>
      <c r="D38" s="24">
        <f>'Financial Statements'!C12/'Financial Statements'!C39</f>
        <v>32.367933130699086</v>
      </c>
      <c r="E38" s="24">
        <f>'Financial Statements'!D12/'Financial Statements'!D39</f>
        <v>41.753016498399411</v>
      </c>
    </row>
    <row r="39" spans="1:7" x14ac:dyDescent="0.35">
      <c r="A39" s="18">
        <f t="shared" si="3"/>
        <v>4.3999999999999986</v>
      </c>
      <c r="B39" s="1" t="s">
        <v>128</v>
      </c>
      <c r="C39" s="24">
        <f>'Financial Statements'!B22/'Financial Statements'!B48</f>
        <v>0.28292440929256851</v>
      </c>
      <c r="D39" s="24">
        <f>'Financial Statements'!C22/'Financial Statements'!C48</f>
        <v>0.26974205275183616</v>
      </c>
      <c r="E39" s="24">
        <f>'Financial Statements'!D22/'Financial Statements'!D48</f>
        <v>0.1772557180259843</v>
      </c>
    </row>
    <row r="40" spans="1:7" x14ac:dyDescent="0.35">
      <c r="A40" s="18"/>
    </row>
    <row r="41" spans="1:7" x14ac:dyDescent="0.35">
      <c r="A41" s="18">
        <f>+A35+1</f>
        <v>5</v>
      </c>
      <c r="B41" s="17" t="s">
        <v>129</v>
      </c>
    </row>
    <row r="42" spans="1:7" x14ac:dyDescent="0.35">
      <c r="A42" s="18">
        <f>+A41+0.1</f>
        <v>5.0999999999999996</v>
      </c>
      <c r="B42" s="1" t="s">
        <v>130</v>
      </c>
      <c r="C42" s="24">
        <f>C55/C43</f>
        <v>21.265139116202946</v>
      </c>
      <c r="D42" s="24">
        <f t="shared" ref="D42:E42" si="4">D55/D43</f>
        <v>31.652406417112296</v>
      </c>
      <c r="E42" s="24">
        <f t="shared" si="4"/>
        <v>40.454268292682926</v>
      </c>
    </row>
    <row r="43" spans="1:7" x14ac:dyDescent="0.35">
      <c r="A43" s="18">
        <f t="shared" ref="A43:A46" si="5">+A42+0.1</f>
        <v>5.1999999999999993</v>
      </c>
      <c r="B43" s="3" t="s">
        <v>131</v>
      </c>
      <c r="C43" s="24">
        <f>'Financial Statements'!B25</f>
        <v>6.11</v>
      </c>
      <c r="D43" s="24">
        <f>'Financial Statements'!C25</f>
        <v>5.61</v>
      </c>
      <c r="E43" s="24">
        <f>'Financial Statements'!D25</f>
        <v>3.28</v>
      </c>
    </row>
    <row r="44" spans="1:7" x14ac:dyDescent="0.35">
      <c r="A44" s="18">
        <f t="shared" si="5"/>
        <v>5.2999999999999989</v>
      </c>
      <c r="B44" s="1" t="s">
        <v>132</v>
      </c>
      <c r="C44" s="24">
        <f>C55*'Financial Statements'!B28/('Financial Statements'!B48-'Financial Statements'!B62)/1000</f>
        <v>41.86165264189296</v>
      </c>
      <c r="D44" s="24">
        <f>D55*'Financial Statements'!C28/('Financial Statements'!C48-'Financial Statements'!C62)/1000</f>
        <v>47.467168597717546</v>
      </c>
      <c r="E44" s="24">
        <f>E55*'Financial Statements'!D28/('Financial Statements'!D48-'Financial Statements'!D62)/1000</f>
        <v>35.596178632363518</v>
      </c>
    </row>
    <row r="45" spans="1:7" x14ac:dyDescent="0.35">
      <c r="A45" s="18">
        <f t="shared" si="5"/>
        <v>5.3999999999999986</v>
      </c>
      <c r="B45" s="3" t="s">
        <v>133</v>
      </c>
      <c r="C45" s="24">
        <f>'Financial Statements'!B68/'Financial Statements'!B28/1000</f>
        <v>3.1037952827971451E-6</v>
      </c>
      <c r="D45" s="24">
        <f>'Financial Statements'!C68/'Financial Statements'!C28/1000</f>
        <v>3.740901453484597E-6</v>
      </c>
      <c r="E45" s="24">
        <f>'Financial Statements'!D68/'Financial Statements'!D28/1000</f>
        <v>3.7276473233382477E-6</v>
      </c>
      <c r="G45" t="s">
        <v>166</v>
      </c>
    </row>
    <row r="46" spans="1:7" x14ac:dyDescent="0.35">
      <c r="A46" s="18">
        <f t="shared" si="5"/>
        <v>5.4999999999999982</v>
      </c>
      <c r="B46" s="1" t="s">
        <v>134</v>
      </c>
      <c r="C46" s="24">
        <f>-'Financial Statements'!B102/'Financial Statements'!B22</f>
        <v>0.14870294480125848</v>
      </c>
      <c r="D46" s="24">
        <f>-'Financial Statements'!C102/'Financial Statements'!C22</f>
        <v>0.15279890156316012</v>
      </c>
      <c r="E46" s="24">
        <f>-'Financial Statements'!D102/'Financial Statements'!D22</f>
        <v>0.24526658654264863</v>
      </c>
    </row>
    <row r="47" spans="1:7" x14ac:dyDescent="0.35">
      <c r="A47" s="18"/>
      <c r="B47" s="3" t="s">
        <v>135</v>
      </c>
      <c r="C47" s="24">
        <f>-'Financial Statements'!B102/('Financial Statements'!B28/1000)</f>
        <v>0.90905087211857494</v>
      </c>
      <c r="D47" s="24">
        <f>-'Financial Statements'!C102/('Financial Statements'!C28/1000)</f>
        <v>0.85781615672153533</v>
      </c>
      <c r="E47" s="24">
        <f>-'Financial Statements'!D102/('Financial Statements'!D28/1000)</f>
        <v>0.80333341434558025</v>
      </c>
    </row>
    <row r="48" spans="1:7" x14ac:dyDescent="0.35">
      <c r="A48" s="18">
        <f>+A46+0.1</f>
        <v>5.5999999999999979</v>
      </c>
      <c r="B48" s="1" t="s">
        <v>136</v>
      </c>
      <c r="C48" s="24">
        <f>C47/C55</f>
        <v>6.9964663443282914E-3</v>
      </c>
      <c r="D48" s="24">
        <f t="shared" ref="D48:E48" si="6">D47/D55</f>
        <v>4.8308619514644104E-3</v>
      </c>
      <c r="E48" s="24">
        <f t="shared" si="6"/>
        <v>6.0542121813669473E-3</v>
      </c>
    </row>
    <row r="49" spans="1:7" x14ac:dyDescent="0.35">
      <c r="A49" s="18">
        <f t="shared" ref="A49:A52" si="7">+A47+0.1</f>
        <v>0.1</v>
      </c>
      <c r="B49" s="1" t="s">
        <v>137</v>
      </c>
      <c r="C49" s="24">
        <f>'Financial Statements'!B22/'Financial Statements'!B68</f>
        <v>1.9695887275023682</v>
      </c>
      <c r="D49" s="24">
        <f>'Financial Statements'!C22/'Financial Statements'!C68</f>
        <v>1.5007132667617689</v>
      </c>
      <c r="E49" s="24">
        <f>'Financial Statements'!D22/'Financial Statements'!D68</f>
        <v>0.87866358530127486</v>
      </c>
    </row>
    <row r="50" spans="1:7" x14ac:dyDescent="0.35">
      <c r="A50" s="18">
        <f t="shared" si="7"/>
        <v>5.6999999999999975</v>
      </c>
      <c r="B50" s="1" t="s">
        <v>138</v>
      </c>
      <c r="C50" s="24">
        <f>C21/('Financial Statements'!B48-'Financial Statements'!B56)</f>
        <v>0.59919103701206899</v>
      </c>
      <c r="D50" s="24">
        <f>D21/('Financial Statements'!C48-'Financial Statements'!C56)</f>
        <v>0.48424315252238148</v>
      </c>
      <c r="E50" s="24">
        <f>E21/('Financial Statements'!D48-'Financial Statements'!D56)</f>
        <v>0.30705825278265964</v>
      </c>
    </row>
    <row r="51" spans="1:7" x14ac:dyDescent="0.35">
      <c r="A51" s="18">
        <f t="shared" si="7"/>
        <v>0.2</v>
      </c>
      <c r="B51" s="1" t="s">
        <v>128</v>
      </c>
      <c r="C51" s="24">
        <f>'Financial Statements'!B22/'Financial Statements'!B48</f>
        <v>0.28292440929256851</v>
      </c>
      <c r="D51" s="24">
        <f>'Financial Statements'!C22/'Financial Statements'!C48</f>
        <v>0.26974205275183616</v>
      </c>
      <c r="E51" s="24">
        <f>'Financial Statements'!D22/'Financial Statements'!D48</f>
        <v>0.1772557180259843</v>
      </c>
    </row>
    <row r="52" spans="1:7" x14ac:dyDescent="0.35">
      <c r="A52" s="18">
        <f t="shared" si="7"/>
        <v>5.7999999999999972</v>
      </c>
      <c r="B52" s="1" t="s">
        <v>139</v>
      </c>
      <c r="C52" s="24">
        <f>C53/C19</f>
        <v>16.954961428110625</v>
      </c>
      <c r="D52" s="24">
        <f t="shared" ref="D52:E52" si="8">D53/D19</f>
        <v>25.549482258674921</v>
      </c>
      <c r="E52" s="24">
        <f t="shared" si="8"/>
        <v>30.65047558652283</v>
      </c>
    </row>
    <row r="53" spans="1:7" x14ac:dyDescent="0.35">
      <c r="A53" s="18"/>
      <c r="B53" s="3" t="s">
        <v>140</v>
      </c>
      <c r="C53" s="24">
        <f>C54+('Financial Statements'!B55+'Financial Statements'!B59)-'Financial Statements'!B36</f>
        <v>2207654.66267</v>
      </c>
      <c r="D53" s="24">
        <f>D54+('Financial Statements'!C55+'Financial Statements'!C59)-'Financial Statements'!C36</f>
        <v>3078482.66683</v>
      </c>
      <c r="E53" s="24">
        <f>E54+('Financial Statements'!D55+'Financial Statements'!D59)-'Financial Statements'!D36</f>
        <v>2395242.7156599998</v>
      </c>
      <c r="G53" t="s">
        <v>167</v>
      </c>
    </row>
    <row r="54" spans="1:7" x14ac:dyDescent="0.35">
      <c r="B54" s="1" t="s">
        <v>170</v>
      </c>
      <c r="C54">
        <f>C55*'Financial Statements'!B28/1000</f>
        <v>2121213.66267</v>
      </c>
      <c r="D54">
        <f>D55*'Financial Statements'!C28/1000</f>
        <v>2994703.66683</v>
      </c>
      <c r="E54">
        <f>E55*'Financial Statements'!D28/1000</f>
        <v>2325818.7156599998</v>
      </c>
    </row>
    <row r="55" spans="1:7" x14ac:dyDescent="0.35">
      <c r="B55" s="11" t="s">
        <v>153</v>
      </c>
      <c r="C55">
        <v>129.93</v>
      </c>
      <c r="D55">
        <v>177.57</v>
      </c>
      <c r="E55">
        <v>132.69</v>
      </c>
    </row>
    <row r="57" spans="1:7" x14ac:dyDescent="0.35">
      <c r="B57" s="7" t="s">
        <v>150</v>
      </c>
    </row>
    <row r="58" spans="1:7" x14ac:dyDescent="0.35">
      <c r="B58" t="s">
        <v>4</v>
      </c>
      <c r="C58" s="23">
        <f>'Financial Statements'!B6/'Financial Statements'!C6-1</f>
        <v>6.3239764351428418E-2</v>
      </c>
      <c r="D58" s="23">
        <f>'Financial Statements'!C6/'Financial Statements'!D6-1</f>
        <v>0.34720743656765429</v>
      </c>
      <c r="E58" s="23">
        <f>'Financial Statements'!D6/'Financial Statements'!E6-1</f>
        <v>3.2092312151970948E-2</v>
      </c>
    </row>
    <row r="59" spans="1:7" x14ac:dyDescent="0.35">
      <c r="B59" t="s">
        <v>5</v>
      </c>
      <c r="C59" s="23">
        <f>'Financial Statements'!B7/'Financial Statements'!C7-1</f>
        <v>0.14181951041286078</v>
      </c>
      <c r="D59" s="23">
        <f>'Financial Statements'!C7/'Financial Statements'!D7-1</f>
        <v>0.27259708376729663</v>
      </c>
      <c r="E59" s="23">
        <f>'Financial Statements'!D7/'Financial Statements'!E7-1</f>
        <v>0.16152167807997242</v>
      </c>
    </row>
    <row r="60" spans="1:7" x14ac:dyDescent="0.35">
      <c r="B60" t="s">
        <v>154</v>
      </c>
      <c r="C60" s="23">
        <f>'Financial Statements'!B8/'Financial Statements'!C8-1</f>
        <v>7.7937876041846099E-2</v>
      </c>
      <c r="D60" s="23">
        <f>'Financial Statements'!C8/'Financial Statements'!D8-1</f>
        <v>0.33259384733074704</v>
      </c>
      <c r="E60" s="23">
        <f>'Financial Statements'!D8/'Financial Statements'!E8-1</f>
        <v>5.5120803769784787E-2</v>
      </c>
    </row>
    <row r="61" spans="1:7" x14ac:dyDescent="0.35">
      <c r="B61" t="s">
        <v>89</v>
      </c>
      <c r="C61" s="23">
        <f>'Financial Statements'!B13/'Financial Statements'!C13-1</f>
        <v>0.1174199795859614</v>
      </c>
      <c r="D61" s="23">
        <f>'Financial Statements'!C13/'Financial Statements'!D13-1</f>
        <v>0.45619116582186825</v>
      </c>
      <c r="E61" s="23">
        <f>'Financial Statements'!D13/'Financial Statements'!E13-1</f>
        <v>6.6712740873241749E-2</v>
      </c>
    </row>
    <row r="62" spans="1:7" x14ac:dyDescent="0.35">
      <c r="B62" t="s">
        <v>11</v>
      </c>
      <c r="C62" s="23">
        <f>'Financial Statements'!B15/'Financial Statements'!C15-1</f>
        <v>0.19791001186456136</v>
      </c>
      <c r="D62" s="23">
        <f>'Financial Statements'!C15/'Financial Statements'!D15-1</f>
        <v>0.16862201365187723</v>
      </c>
      <c r="E62" s="23">
        <f>'Financial Statements'!D15/'Financial Statements'!E15-1</f>
        <v>0.15631744465684161</v>
      </c>
    </row>
    <row r="63" spans="1:7" x14ac:dyDescent="0.35">
      <c r="B63" t="s">
        <v>12</v>
      </c>
      <c r="C63" s="23">
        <f>'Financial Statements'!B16/'Financial Statements'!C16-1</f>
        <v>0.14203795567287125</v>
      </c>
      <c r="D63" s="23">
        <f>'Financial Statements'!C16/'Financial Statements'!D16-1</f>
        <v>0.10328379192608961</v>
      </c>
      <c r="E63" s="23">
        <f>'Financial Statements'!D16/'Financial Statements'!E16-1</f>
        <v>9.1586736092080123E-2</v>
      </c>
    </row>
    <row r="64" spans="1:7" x14ac:dyDescent="0.35">
      <c r="B64" t="s">
        <v>13</v>
      </c>
      <c r="C64" s="23">
        <f>'Financial Statements'!B17/'Financial Statements'!C17-1</f>
        <v>0.16993642764372141</v>
      </c>
      <c r="D64" s="23">
        <f>'Financial Statements'!C17/'Financial Statements'!D17-1</f>
        <v>0.13496948381090301</v>
      </c>
      <c r="E64" s="23">
        <f>'Financial Statements'!D17/'Financial Statements'!E17-1</f>
        <v>0.12204747257849236</v>
      </c>
    </row>
    <row r="65" spans="2:5" x14ac:dyDescent="0.35">
      <c r="B65" t="s">
        <v>156</v>
      </c>
      <c r="C65" s="23">
        <f>'Financial Statements'!B42/'Financial Statements'!C42-1</f>
        <v>4.2199412619774446E-3</v>
      </c>
      <c r="D65" s="23">
        <f>'Financial Statements'!C42/'Financial Statements'!D42-1</f>
        <v>-6.1768942266879123E-2</v>
      </c>
      <c r="E65" s="23">
        <f>'Financial Statements'!D42/'Financial Statements'!E42-1</f>
        <v>-0.11734502730025365</v>
      </c>
    </row>
    <row r="66" spans="2:5" x14ac:dyDescent="0.35">
      <c r="B66" t="s">
        <v>155</v>
      </c>
      <c r="C66" s="23">
        <f>'Financial Statements'!B47/'Financial Statements'!C47-1</f>
        <v>5.477272096444441E-3</v>
      </c>
      <c r="D66" s="23">
        <f>'Financial Statements'!C47/'Financial Statements'!D47-1</f>
        <v>0.19975579297904811</v>
      </c>
      <c r="E66" s="23">
        <f>'Financial Statements'!D47/'Financial Statements'!E47-1</f>
        <v>2.5487060109165238E-2</v>
      </c>
    </row>
    <row r="67" spans="2:5" x14ac:dyDescent="0.35">
      <c r="B67" t="s">
        <v>158</v>
      </c>
      <c r="C67" s="23">
        <f>'Financial Statements'!B56/'Financial Statements'!C56-1</f>
        <v>0.22713398841258825</v>
      </c>
      <c r="D67" s="23">
        <f>'Financial Statements'!C56/'Financial Statements'!D56-1</f>
        <v>0.19061219067860935</v>
      </c>
      <c r="E67" s="23">
        <f>'Financial Statements'!D56/'Financial Statements'!E56-1</f>
        <v>-3.0836754384305776E-3</v>
      </c>
    </row>
    <row r="68" spans="2:5" x14ac:dyDescent="0.35">
      <c r="B68" t="s">
        <v>157</v>
      </c>
      <c r="C68" s="23">
        <f>'Financial Statements'!B61/'Financial Statements'!C61-1</f>
        <v>-8.8222075835277747E-2</v>
      </c>
      <c r="D68" s="23">
        <f>'Financial Statements'!C61/'Financial Statements'!D61-1</f>
        <v>6.0552243775994663E-2</v>
      </c>
      <c r="E68" s="23">
        <f>'Financial Statements'!D61/'Financial Statements'!E61-1</f>
        <v>7.6220926147143597E-2</v>
      </c>
    </row>
    <row r="69" spans="2:5" x14ac:dyDescent="0.35">
      <c r="B69" t="s">
        <v>45</v>
      </c>
      <c r="C69" s="23">
        <f>'Financial Statements'!B68/'Financial Statements'!C68-1</f>
        <v>-0.19682992550324929</v>
      </c>
      <c r="D69" s="23">
        <f>'Financial Statements'!C68/'Financial Statements'!D68-1</f>
        <v>-3.4420483937617652E-2</v>
      </c>
      <c r="E69" s="23">
        <f>'Financial Statements'!D68/'Financial Statements'!E68-1</f>
        <v>-0.27792635487578465</v>
      </c>
    </row>
    <row r="70" spans="2:5" x14ac:dyDescent="0.35">
      <c r="C70" s="23"/>
      <c r="D70" s="23"/>
      <c r="E70" s="23"/>
    </row>
    <row r="71" spans="2:5" x14ac:dyDescent="0.35">
      <c r="B71" s="7" t="s">
        <v>151</v>
      </c>
      <c r="C71" s="23"/>
      <c r="D71" s="23"/>
      <c r="E71" s="23"/>
    </row>
    <row r="72" spans="2:5" x14ac:dyDescent="0.35">
      <c r="B72" t="s">
        <v>146</v>
      </c>
      <c r="C72" s="23">
        <f>'Financial Statements'!B12/'Financial Statements'!B8</f>
        <v>0.56690369438639909</v>
      </c>
      <c r="D72" s="23">
        <f>'Financial Statements'!C12/'Financial Statements'!C8</f>
        <v>0.58220640374832222</v>
      </c>
      <c r="E72" s="23">
        <f>'Financial Statements'!D12/'Financial Statements'!D8</f>
        <v>0.61766752272189129</v>
      </c>
    </row>
    <row r="73" spans="2:5" x14ac:dyDescent="0.35">
      <c r="B73" t="s">
        <v>89</v>
      </c>
      <c r="C73" s="23">
        <f>'Financial Statements'!B13/'Financial Statements'!B8</f>
        <v>0.43309630561360085</v>
      </c>
      <c r="D73" s="23">
        <f>'Financial Statements'!C13/'Financial Statements'!C8</f>
        <v>0.41779359625167778</v>
      </c>
      <c r="E73" s="23">
        <f>'Financial Statements'!D13/'Financial Statements'!D8</f>
        <v>0.38233247727810865</v>
      </c>
    </row>
    <row r="74" spans="2:5" x14ac:dyDescent="0.35">
      <c r="B74" t="s">
        <v>11</v>
      </c>
      <c r="C74" s="23">
        <f>'Financial Statements'!B15/'Financial Statements'!B8</f>
        <v>6.657148363798665E-2</v>
      </c>
      <c r="D74" s="23">
        <f>'Financial Statements'!C15/'Financial Statements'!C8</f>
        <v>5.9904269074427925E-2</v>
      </c>
      <c r="E74" s="23">
        <f>'Financial Statements'!D15/'Financial Statements'!D8</f>
        <v>6.8309564140393061E-2</v>
      </c>
    </row>
    <row r="75" spans="2:5" x14ac:dyDescent="0.35">
      <c r="B75" t="s">
        <v>12</v>
      </c>
      <c r="C75" s="23">
        <f>'Financial Statements'!B16/'Financial Statements'!B8</f>
        <v>6.3637378020328261E-2</v>
      </c>
      <c r="D75" s="23">
        <f>'Financial Statements'!C16/'Financial Statements'!C8</f>
        <v>6.006555190163388E-2</v>
      </c>
      <c r="E75" s="23">
        <f>'Financial Statements'!D16/'Financial Statements'!D8</f>
        <v>7.2549769593646979E-2</v>
      </c>
    </row>
    <row r="76" spans="2:5" x14ac:dyDescent="0.35">
      <c r="B76" t="s">
        <v>14</v>
      </c>
      <c r="C76" s="23">
        <f>'Financial Statements'!B18/'Financial Statements'!B8</f>
        <v>0.30288744395528594</v>
      </c>
      <c r="D76" s="23">
        <f>'Financial Statements'!C18/'Financial Statements'!C8</f>
        <v>0.29782377527561593</v>
      </c>
      <c r="E76" s="23">
        <f>'Financial Statements'!D18/'Financial Statements'!D8</f>
        <v>0.24147314354406862</v>
      </c>
    </row>
    <row r="77" spans="2:5" x14ac:dyDescent="0.35">
      <c r="B77" t="s">
        <v>93</v>
      </c>
      <c r="C77" s="23">
        <f>'Financial Statements'!B22/'Financial Statements'!B8</f>
        <v>0.25309640705199732</v>
      </c>
      <c r="D77" s="23">
        <f>'Financial Statements'!C22/'Financial Statements'!C8</f>
        <v>0.25881793355694238</v>
      </c>
      <c r="E77" s="23">
        <f>'Financial Statements'!D22/'Financial Statements'!D8</f>
        <v>0.20913611278072236</v>
      </c>
    </row>
    <row r="79" spans="2:5" x14ac:dyDescent="0.35">
      <c r="B79" s="7" t="s">
        <v>152</v>
      </c>
    </row>
    <row r="80" spans="2:5" x14ac:dyDescent="0.35">
      <c r="B80" t="s">
        <v>94</v>
      </c>
      <c r="C80" s="23">
        <f>'Financial Statements'!B21/'Financial Statements'!B20</f>
        <v>0.16204461684424407</v>
      </c>
      <c r="D80" s="23">
        <f>'Financial Statements'!C21/'Financial Statements'!C20</f>
        <v>0.13302260844085087</v>
      </c>
      <c r="E80" s="23">
        <f>'Financial Statements'!D21/'Financial Statements'!D20</f>
        <v>0.14428164731484103</v>
      </c>
    </row>
    <row r="81" spans="2:5" x14ac:dyDescent="0.35">
      <c r="B81" t="s">
        <v>95</v>
      </c>
      <c r="C81" s="23">
        <f>-'Financial Statements'!B96/'Financial Statements'!B8</f>
        <v>2.7155058732831552E-2</v>
      </c>
      <c r="D81" s="23">
        <f>-'Financial Statements'!C96/'Financial Statements'!C8</f>
        <v>3.0302036264033657E-2</v>
      </c>
      <c r="E81" s="23">
        <f>-'Financial Statements'!D96/'Financial Statements'!D8</f>
        <v>2.6625138881299748E-2</v>
      </c>
    </row>
    <row r="82" spans="2:5" x14ac:dyDescent="0.35">
      <c r="B82" t="s">
        <v>96</v>
      </c>
      <c r="C82" s="23">
        <f>-'Financial Statements'!B96/'Financial Statements'!B45</f>
        <v>0.25424412944891611</v>
      </c>
      <c r="D82" s="23">
        <f>-'Financial Statements'!C96/'Financial Statements'!C45</f>
        <v>0.28105983772819471</v>
      </c>
      <c r="E82" s="23">
        <f>-'Financial Statements'!D96/'Financial Statements'!D45</f>
        <v>0.19879780231735844</v>
      </c>
    </row>
  </sheetData>
  <mergeCells count="1">
    <mergeCell ref="C2:E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Financial Statements</vt:lpstr>
      <vt:lpstr>List of Ratios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Krith</cp:lastModifiedBy>
  <dcterms:created xsi:type="dcterms:W3CDTF">2020-05-18T16:32:37Z</dcterms:created>
  <dcterms:modified xsi:type="dcterms:W3CDTF">2023-07-07T13:16:44Z</dcterms:modified>
</cp:coreProperties>
</file>