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3" l="1"/>
  <c r="E75" i="3"/>
  <c r="C75" i="3"/>
  <c r="C74" i="3"/>
  <c r="D74" i="3"/>
  <c r="E74" i="3"/>
  <c r="D73" i="3"/>
  <c r="E73" i="3"/>
  <c r="C73" i="3"/>
  <c r="B74" i="3"/>
  <c r="B75" i="3"/>
  <c r="B73" i="3"/>
  <c r="D69" i="3"/>
  <c r="E69" i="3"/>
  <c r="C69" i="3"/>
  <c r="D68" i="3"/>
  <c r="E68" i="3"/>
  <c r="D67" i="3"/>
  <c r="E67" i="3"/>
  <c r="D66" i="3"/>
  <c r="E66" i="3"/>
  <c r="C68" i="3"/>
  <c r="C67" i="3"/>
  <c r="C66" i="3"/>
  <c r="C65" i="3"/>
  <c r="D65" i="3"/>
  <c r="E65" i="3"/>
  <c r="D64" i="3"/>
  <c r="E64" i="3"/>
  <c r="C64" i="3"/>
  <c r="B65" i="3"/>
  <c r="B68" i="3"/>
  <c r="B69" i="3"/>
  <c r="B64" i="3"/>
  <c r="D60" i="3"/>
  <c r="C60" i="3"/>
  <c r="C59" i="3"/>
  <c r="D59" i="3"/>
  <c r="C58" i="3"/>
  <c r="D58" i="3"/>
  <c r="D57" i="3"/>
  <c r="C57" i="3"/>
  <c r="D56" i="3"/>
  <c r="C56" i="3"/>
  <c r="C55" i="3"/>
  <c r="D55" i="3"/>
  <c r="B56" i="3"/>
  <c r="B55" i="3"/>
  <c r="D51" i="3"/>
  <c r="E51" i="3"/>
  <c r="C51" i="3"/>
  <c r="D49" i="3"/>
  <c r="E49" i="3"/>
  <c r="C49" i="3"/>
  <c r="D48" i="3"/>
  <c r="E48" i="3"/>
  <c r="C48" i="3"/>
  <c r="D47" i="3"/>
  <c r="E47" i="3"/>
  <c r="C47" i="3"/>
  <c r="D45" i="3"/>
  <c r="D46" i="3" s="1"/>
  <c r="E45" i="3"/>
  <c r="E46" i="3" s="1"/>
  <c r="C45" i="3"/>
  <c r="C46" i="3" s="1"/>
  <c r="C44" i="3"/>
  <c r="D44" i="3"/>
  <c r="E44" i="3"/>
  <c r="D43" i="3"/>
  <c r="D42" i="3" s="1"/>
  <c r="E43" i="3"/>
  <c r="E42" i="3" s="1"/>
  <c r="C43" i="3"/>
  <c r="C42" i="3" s="1"/>
  <c r="C30" i="1"/>
  <c r="D30" i="1"/>
  <c r="B30" i="1"/>
  <c r="D41" i="3"/>
  <c r="D40" i="3" s="1"/>
  <c r="E41" i="3"/>
  <c r="E40" i="3" s="1"/>
  <c r="C41" i="3"/>
  <c r="C40" i="3" s="1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28" i="3" s="1"/>
  <c r="C21" i="3"/>
  <c r="C20" i="3" s="1"/>
  <c r="D19" i="3"/>
  <c r="D18" i="3" s="1"/>
  <c r="E19" i="3"/>
  <c r="E18" i="3" s="1"/>
  <c r="C19" i="3"/>
  <c r="C18" i="3" s="1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C120" i="1"/>
  <c r="D120" i="1"/>
  <c r="B120" i="1"/>
  <c r="C119" i="1"/>
  <c r="D119" i="1"/>
  <c r="B119" i="1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C12" i="3" l="1"/>
  <c r="C50" i="3"/>
  <c r="E50" i="3"/>
  <c r="E20" i="3"/>
  <c r="E12" i="3"/>
  <c r="D12" i="3"/>
  <c r="D50" i="3"/>
  <c r="C28" i="3"/>
  <c r="D28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C69" i="1" s="1"/>
  <c r="C18" i="1"/>
  <c r="C20" i="1" s="1"/>
  <c r="C22" i="1" s="1"/>
  <c r="C76" i="1" s="1"/>
  <c r="C91" i="1" s="1"/>
  <c r="C109" i="1" s="1"/>
  <c r="B62" i="1"/>
  <c r="B18" i="1"/>
  <c r="B20" i="1" s="1"/>
  <c r="B22" i="1" s="1"/>
  <c r="B76" i="1" s="1"/>
  <c r="B91" i="1" s="1"/>
  <c r="B109" i="1" s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<sst xmlns="http://schemas.openxmlformats.org/spreadsheetml/2006/main" count="203" uniqueCount="174">
  <si>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</si>
  <si>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</si>
  <si>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</si>
  <si>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</si>
  <si>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</si>
  <si>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</si>
  <si>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</si>
  <si>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</si>
  <si>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</si>
  <si>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</si>
  <si>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</si>
  <si>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</si>
  <si>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</si>
  <si>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</si>
  <si>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</si>
  <si>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</si>
  <si>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</si>
  <si>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</si>
  <si>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</si>
  <si>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</si>
  <si>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</si>
  <si>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</si>
  <si>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</si>
  <si>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</si>
  <si>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</si>
  <si>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</si>
  <si>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</si>
  <si>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</si>
  <si>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</si>
  <si>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</si>
  <si>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</si>
  <si>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</si>
  <si>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</si>
  <si>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</si>
  <si>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</si>
  <si>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</si>
  <si>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</si>
  <si>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</si>
  <si>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</si>
  <si>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</si>
  <si>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</si>
  <si>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</si>
  <si>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</si>
  <si>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</si>
  <si>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</si>
  <si>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</si>
  <si>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</si>
  <si>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</si>
  <si>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</si>
  <si>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</si>
  <si>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</si>
  <si>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</si>
  <si>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</si>
  <si>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</si>
  <si>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</si>
  <si>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</si>
  <si>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</si>
  <si>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</si>
  <si>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</si>
  <si>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</si>
  <si>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</si>
  <si>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</si>
  <si>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</si>
  <si>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</si>
  <si>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</si>
  <si>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</si>
  <si>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</si>
  <si>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</si>
  <si>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</si>
  <si>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</si>
  <si>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</si>
  <si>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</si>
  <si>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</si>
  <si>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</si>
  <si>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</si>
  <si>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</si>
  <si>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</si>
  <si>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</si>
  <si>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</si>
  <si>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</si>
  <si>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</si>
  <si>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</si>
  <si>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</si>
  <si>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</si>
  <si>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</si>
  <si>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</si>
  <si>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</si>
  <si>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</si>
  <si>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</si>
  <si>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</si>
  <si>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</si>
  <si>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</si>
  <si>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</si>
  <si>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</si>
  <si>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</si>
  <si>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</si>
  <si>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</si>
  <si>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</si>
  <si>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</si>
  <si>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</si>
  <si>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</si>
  <si>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</si>
  <si>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</si>
  <si>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</si>
  <si>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</si>
  <si>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</si>
  <si>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</si>
  <si>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</si>
  <si>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</si>
  <si>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</si>
  <si>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</si>
  <si>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</si>
  <si>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</si>
  <si>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</si>
  <si>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</si>
  <si>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</si>
  <si>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</si>
  <si>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</si>
  <si>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</si>
  <si>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</si>
  <si>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</si>
  <si>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</si>
  <si>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</si>
  <si>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</si>
  <si>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</si>
  <si>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</si>
  <si>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</si>
  <si>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</si>
  <si>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</si>
  <si>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</si>
  <si>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</si>
  <si>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</si>
  <si>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</si>
  <si>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</si>
  <si>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</si>
  <si>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</si>
  <si>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</si>
  <si>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</si>
  <si>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</si>
  <si>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</si>
  <si>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</si>
  <si>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</si>
  <si>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</si>
  <si>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</si>
  <si>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</si>
  <si>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</si>
  <si>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</si>
  <si>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</si>
  <si>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</si>
  <si>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</si>
  <si>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COGS</t>
  </si>
  <si>
    <t>Average Inventory</t>
  </si>
  <si>
    <t>Stock price</t>
  </si>
  <si>
    <t>Book value per share</t>
  </si>
  <si>
    <t>Diluted in millions</t>
  </si>
  <si>
    <t>Growth rates</t>
  </si>
  <si>
    <t>Total liabilities and shareholder's equity</t>
  </si>
  <si>
    <t xml:space="preserve">Margins </t>
  </si>
  <si>
    <t>Additional items</t>
  </si>
  <si>
    <t>Daily Operational Expenses = (Annual Operating Expenses - Noncash Charges) / 365</t>
  </si>
  <si>
    <t>Accounts payable should be linked from balance sheet, not cash flow</t>
  </si>
  <si>
    <t>Numerator should be inventory in balance sheet</t>
  </si>
  <si>
    <t>Receivables should be liked from balance sheet, not cash flow</t>
  </si>
  <si>
    <t>EBIT = Operating income in income statement</t>
  </si>
  <si>
    <t>Term debt/Equity</t>
  </si>
  <si>
    <t>Link only term debt,  differed revenue is not actual debt</t>
  </si>
  <si>
    <t>Net Operating Income/ (Interest + Debt repayment)</t>
  </si>
  <si>
    <t>Cash from operations + Capex + Net debt issued</t>
  </si>
  <si>
    <t>FCFE/Diluted number of shares</t>
  </si>
  <si>
    <t>EBIT / Capital Employed where Capital Employed = Term debt + Equity</t>
  </si>
  <si>
    <t>Capex = Purchase of Property Plant and Equity from cash flow</t>
  </si>
  <si>
    <t>Remove the multiplication by 100 and use the % formatting instead</t>
  </si>
  <si>
    <t>Remove change in inventory (row 85) from formula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</si>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</sst>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9" fontId="0" fillId="0" borderId="0" xfId="3" applyFont="1"/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zoomScale="76" workbookViewId="0">
      <selection activeCell="A35" sqref="A35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22" zoomScale="77" workbookViewId="0">
      <selection activeCell="C22" sqref="C22"/>
    </sheetView>
  </sheetViews>
  <sheetFormatPr defaultRowHeight="14.4" x14ac:dyDescent="0.3"/>
  <cols>
    <col min="1" max="1" width="91.77734375" customWidth="1"/>
    <col min="2" max="2" width="12.77734375" bestFit="1" customWidth="1"/>
    <col min="3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5" t="s">
        <v>1</v>
      </c>
      <c r="B2" s="25"/>
      <c r="C2" s="25"/>
      <c r="D2" s="25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4" x14ac:dyDescent="0.3">
      <c r="A30" s="1" t="s">
        <v>154</v>
      </c>
      <c r="B30">
        <f>B28/1000</f>
        <v>16325.819</v>
      </c>
      <c r="C30">
        <f t="shared" ref="C30:D30" si="8">C28/1000</f>
        <v>16864.919000000002</v>
      </c>
      <c r="D30">
        <f t="shared" si="8"/>
        <v>17528.214</v>
      </c>
    </row>
    <row r="31" spans="1:4" x14ac:dyDescent="0.3">
      <c r="A31" s="25" t="s">
        <v>24</v>
      </c>
      <c r="B31" s="25"/>
      <c r="C31" s="25"/>
      <c r="D31" s="25"/>
    </row>
    <row r="32" spans="1:4" x14ac:dyDescent="0.3">
      <c r="B32" s="24" t="s">
        <v>142</v>
      </c>
      <c r="C32" s="24"/>
      <c r="D32" s="24"/>
    </row>
    <row r="33" spans="1:4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</row>
    <row r="70" spans="1:4" ht="15" thickTop="1" x14ac:dyDescent="0.3"/>
    <row r="71" spans="1:4" x14ac:dyDescent="0.3">
      <c r="A71" s="25" t="s">
        <v>55</v>
      </c>
      <c r="B71" s="25"/>
      <c r="C71" s="25"/>
      <c r="D71" s="25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9" spans="1:4" x14ac:dyDescent="0.3">
      <c r="A119" t="s">
        <v>150</v>
      </c>
      <c r="B119" s="23">
        <f>B39+B12-B85</f>
        <v>227008</v>
      </c>
      <c r="C119" s="23">
        <f t="shared" ref="C119:D119" si="24">C39+C12-C85</f>
        <v>222203</v>
      </c>
      <c r="D119" s="23">
        <f t="shared" si="24"/>
        <v>173747</v>
      </c>
    </row>
    <row r="120" spans="1:4" x14ac:dyDescent="0.3">
      <c r="A120" t="s">
        <v>151</v>
      </c>
      <c r="B120" s="23">
        <f>B39+B85</f>
        <v>6430</v>
      </c>
      <c r="C120" s="23">
        <f t="shared" ref="C120:D120" si="25">C39+C85</f>
        <v>3938</v>
      </c>
      <c r="D120" s="23">
        <f t="shared" si="25"/>
        <v>3934</v>
      </c>
    </row>
    <row r="121" spans="1:4" x14ac:dyDescent="0.3">
      <c r="A121" t="s">
        <v>152</v>
      </c>
      <c r="B121">
        <v>138.19999999999999</v>
      </c>
      <c r="C121">
        <v>141.5</v>
      </c>
      <c r="D121">
        <v>115.81</v>
      </c>
    </row>
    <row r="122" spans="1:4" x14ac:dyDescent="0.3">
      <c r="A122" t="s">
        <v>153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89" zoomScaleNormal="85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3" customWidth="1"/>
    <col min="4" max="5" width="14.6640625" bestFit="1" customWidth="1"/>
    <col min="6" max="6" width="2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8" t="s">
        <v>173</v>
      </c>
      <c r="G1" s="19"/>
      <c r="H1" s="19"/>
      <c r="I1" s="19"/>
      <c r="J1" s="19"/>
    </row>
    <row r="2" spans="1:10" x14ac:dyDescent="0.3">
      <c r="C2" s="24" t="s">
        <v>23</v>
      </c>
      <c r="D2" s="24"/>
      <c r="E2" s="2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6">
        <f>('Financial Statements'!B36+'Financial Statements'!B38)/'Financial Statements'!B56</f>
        <v>0.33659778415658975</v>
      </c>
      <c r="D6" s="26">
        <f>('Financial Statements'!C36+'Financial Statements'!C38)/'Financial Statements'!C56</f>
        <v>0.48786668898080188</v>
      </c>
      <c r="E6" s="26">
        <f>('Financial Statements'!D36+'Financial Statements'!D38)/'Financial Statements'!D56</f>
        <v>0.51366327614999241</v>
      </c>
    </row>
    <row r="7" spans="1:10" x14ac:dyDescent="0.3">
      <c r="A7" s="18">
        <f t="shared" si="0"/>
        <v>1.3000000000000003</v>
      </c>
      <c r="B7" s="1" t="s">
        <v>102</v>
      </c>
      <c r="C7" s="26">
        <f>('Financial Statements'!B36 +'Financial Statements'!B37)/'Financial Statements'!B56</f>
        <v>0.31369900377966253</v>
      </c>
      <c r="D7" s="26">
        <f>('Financial Statements'!C36 +'Financial Statements'!C37)/'Financial Statements'!C56</f>
        <v>0.49919111259872012</v>
      </c>
      <c r="E7" s="26">
        <f>('Financial Statements'!D36 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6">
        <f>'Financial Statements'!B42/('Financial Statements'!B17/365)</f>
        <v>962.56354075372474</v>
      </c>
      <c r="D8" s="26">
        <f>'Financial Statements'!C42/('Financial Statements'!C17/365)</f>
        <v>1121.4058832911796</v>
      </c>
      <c r="E8" s="26">
        <f>'Financial Statements'!D42/('Financial Statements'!D17/365)</f>
        <v>1356.5543860556534</v>
      </c>
      <c r="F8" t="s">
        <v>159</v>
      </c>
    </row>
    <row r="9" spans="1:10" x14ac:dyDescent="0.3">
      <c r="A9" s="18">
        <f t="shared" si="0"/>
        <v>1.5000000000000004</v>
      </c>
      <c r="B9" s="1" t="s">
        <v>104</v>
      </c>
      <c r="C9" s="26">
        <f>('Financial Statements'!B120/'Financial Statements'!B12)*365</f>
        <v>10.498734041315881</v>
      </c>
      <c r="D9" s="26">
        <f>('Financial Statements'!C120/'Financial Statements'!C12)*365</f>
        <v>6.748817969678047</v>
      </c>
      <c r="E9" s="26">
        <f>('Financial Statements'!D120/'Financial Statements'!D12)*365</f>
        <v>8.4684976910691852</v>
      </c>
      <c r="F9" t="s">
        <v>161</v>
      </c>
    </row>
    <row r="10" spans="1:10" x14ac:dyDescent="0.3">
      <c r="A10" s="18">
        <f t="shared" si="0"/>
        <v>1.6000000000000005</v>
      </c>
      <c r="B10" s="1" t="s">
        <v>105</v>
      </c>
      <c r="C10" s="26">
        <f>('Financial Statements'!B88)*365/'Financial Statements'!B12</f>
        <v>15.426444669106134</v>
      </c>
      <c r="D10" s="26">
        <f>('Financial Statements'!C88)*365/'Financial Statements'!C12</f>
        <v>21.123903071165973</v>
      </c>
      <c r="E10" s="26">
        <f>('Financial Statements'!D88)*365/'Financial Statements'!D12</f>
        <v>-8.7440359992686911</v>
      </c>
      <c r="F10" t="s">
        <v>160</v>
      </c>
    </row>
    <row r="11" spans="1:10" x14ac:dyDescent="0.3">
      <c r="A11" s="18">
        <f t="shared" si="0"/>
        <v>1.7000000000000006</v>
      </c>
      <c r="B11" s="1" t="s">
        <v>106</v>
      </c>
      <c r="C11" s="26">
        <f>('Financial Statements'!B84/'Financial Statements'!B8)*365</f>
        <v>-1.687415045342963</v>
      </c>
      <c r="D11" s="26">
        <f>('Financial Statements'!C84/'Financial Statements'!C8)*365</f>
        <v>-10.102387259203372</v>
      </c>
      <c r="E11" s="26">
        <f>('Financial Statements'!D84/'Financial Statements'!D8)*365</f>
        <v>9.1969655574376628</v>
      </c>
      <c r="F11" t="s">
        <v>162</v>
      </c>
    </row>
    <row r="12" spans="1:10" x14ac:dyDescent="0.3">
      <c r="A12" s="18">
        <f t="shared" si="0"/>
        <v>1.8000000000000007</v>
      </c>
      <c r="B12" s="1" t="s">
        <v>107</v>
      </c>
      <c r="C12" s="26">
        <f>C9+C11-C10</f>
        <v>-6.6151256731332158</v>
      </c>
      <c r="D12" s="26">
        <f t="shared" ref="D12:E12" si="1">D9+D11-D10</f>
        <v>-24.477472360691298</v>
      </c>
      <c r="E12" s="26">
        <f t="shared" si="1"/>
        <v>26.409499247775535</v>
      </c>
    </row>
    <row r="13" spans="1:10" x14ac:dyDescent="0.3">
      <c r="A13" s="18">
        <f t="shared" si="0"/>
        <v>1.9000000000000008</v>
      </c>
      <c r="B13" s="1" t="s">
        <v>108</v>
      </c>
      <c r="C13" s="26">
        <f>(C14/'Financial Statements'!B8)*100</f>
        <v>-4.7110527276784806</v>
      </c>
      <c r="D13" s="26">
        <f>(D14/'Financial Statements'!C8)*100</f>
        <v>2.5572895737486232</v>
      </c>
      <c r="E13" s="26">
        <f>(E14/'Financial Statements'!D8)*100</f>
        <v>13.959528623208204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7">
        <f>('Financial Statements'!B8-'Financial Statements'!B12)*100/'Financial Statements'!B8</f>
        <v>43.309630561360088</v>
      </c>
      <c r="D17" s="27">
        <f>('Financial Statements'!C8-'Financial Statements'!C12)*100/'Financial Statements'!C8</f>
        <v>41.779359625167778</v>
      </c>
      <c r="E17" s="27">
        <f>('Financial Statements'!D8-'Financial Statements'!D12)*100/'Financial Statements'!D8</f>
        <v>38.23324772781087</v>
      </c>
      <c r="F17" t="s">
        <v>171</v>
      </c>
    </row>
    <row r="18" spans="1:6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6" x14ac:dyDescent="0.3">
      <c r="A19" s="18"/>
      <c r="B19" s="3" t="s">
        <v>112</v>
      </c>
      <c r="C19">
        <f>'Financial Statements'!B79+'Financial Statements'!B18</f>
        <v>130541</v>
      </c>
      <c r="D19">
        <f>'Financial Statements'!C79+'Financial Statements'!C18</f>
        <v>120233</v>
      </c>
      <c r="E19">
        <f>'Financial Statements'!D79+'Financial Statements'!D18</f>
        <v>77344</v>
      </c>
    </row>
    <row r="20" spans="1:6" x14ac:dyDescent="0.3">
      <c r="A20" s="18">
        <f>+A18+0.1</f>
        <v>2.3000000000000003</v>
      </c>
      <c r="B20" s="1" t="s">
        <v>113</v>
      </c>
      <c r="C20">
        <f>C21/'Financial Statements'!B8</f>
        <v>0.30999827554726017</v>
      </c>
      <c r="D20">
        <f>D21/'Financial Statements'!C8</f>
        <v>0.33555575602008653</v>
      </c>
      <c r="E20">
        <f>E21/'Financial Statements'!D8</f>
        <v>0.25468189352130122</v>
      </c>
    </row>
    <row r="21" spans="1:6" x14ac:dyDescent="0.3">
      <c r="A21" s="18"/>
      <c r="B21" s="3" t="s">
        <v>114</v>
      </c>
      <c r="C21">
        <f>'Financial Statements'!B22+'Financial Statements'!B113+'Financial Statements'!B114</f>
        <v>122241</v>
      </c>
      <c r="D21">
        <f>'Financial Statements'!C22+'Financial Statements'!C113+'Financial Statements'!C114</f>
        <v>122752</v>
      </c>
      <c r="E21">
        <f>'Financial Statements'!D22+'Financial Statements'!D113+'Financial Statements'!D114</f>
        <v>69914</v>
      </c>
      <c r="F21" t="s">
        <v>163</v>
      </c>
    </row>
    <row r="22" spans="1:6" x14ac:dyDescent="0.3">
      <c r="A22" s="18">
        <f>+A20+0.1</f>
        <v>2.4000000000000004</v>
      </c>
      <c r="B22" s="1" t="s">
        <v>115</v>
      </c>
      <c r="C22">
        <f>'Financial Statements'!B22*100/'Financial Statements'!B8</f>
        <v>25.309640705199733</v>
      </c>
      <c r="D22">
        <f>'Financial Statements'!C22*100/'Financial Statements'!C8</f>
        <v>25.881793355694242</v>
      </c>
      <c r="E22">
        <f>'Financial Statements'!D22*100/'Financial Statements'!D8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  <c r="F25" t="s">
        <v>164</v>
      </c>
    </row>
    <row r="26" spans="1:6" x14ac:dyDescent="0.3">
      <c r="A26" s="18">
        <f t="shared" ref="A26:A30" si="2">+A25+0.1</f>
        <v>3.2</v>
      </c>
      <c r="B26" s="1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  <c r="F26" t="s">
        <v>165</v>
      </c>
    </row>
    <row r="27" spans="1:6" x14ac:dyDescent="0.3">
      <c r="A27" s="18">
        <f t="shared" si="2"/>
        <v>3.3000000000000003</v>
      </c>
      <c r="B27" s="1" t="s">
        <v>119</v>
      </c>
      <c r="C27" s="26">
        <f>'Financial Statements'!B59/('Financial Statements'!B59+'Financial Statements'!B65)</f>
        <v>0.60411579410041027</v>
      </c>
      <c r="D27" s="26">
        <f>'Financial Statements'!C59/('Financial Statements'!C59+'Financial Statements'!C65)</f>
        <v>0.65540544599359651</v>
      </c>
      <c r="E27" s="26">
        <f>'Financial Statements'!D59/('Financial Statements'!D59+'Financial Statements'!D65)</f>
        <v>0.66021840664855536</v>
      </c>
    </row>
    <row r="28" spans="1:6" x14ac:dyDescent="0.3">
      <c r="A28" s="18">
        <f t="shared" si="2"/>
        <v>3.4000000000000004</v>
      </c>
      <c r="B28" s="1" t="s">
        <v>120</v>
      </c>
      <c r="C28" s="26">
        <f>C21/'Financial Statements'!B114</f>
        <v>42.667015706806282</v>
      </c>
      <c r="D28" s="26">
        <f>D21/'Financial Statements'!C114</f>
        <v>45.683662076665428</v>
      </c>
      <c r="E28" s="26">
        <f>E21/'Financial Statements'!D114</f>
        <v>23.289140572951364</v>
      </c>
    </row>
    <row r="29" spans="1:6" x14ac:dyDescent="0.3">
      <c r="A29" s="18">
        <f t="shared" si="2"/>
        <v>3.5000000000000004</v>
      </c>
      <c r="B29" s="1" t="s">
        <v>121</v>
      </c>
      <c r="C29" s="26">
        <f>'Financial Statements'!B20/'Financial Statements'!B56</f>
        <v>0.77348651141042457</v>
      </c>
      <c r="D29" s="26">
        <f>'Financial Statements'!C20/'Financial Statements'!C56</f>
        <v>0.87030705843912626</v>
      </c>
      <c r="E29" s="26">
        <f>'Financial Statements'!D20/'Financial Statements'!D56</f>
        <v>0.63658531956884779</v>
      </c>
      <c r="F29" t="s">
        <v>166</v>
      </c>
    </row>
    <row r="30" spans="1:6" x14ac:dyDescent="0.3">
      <c r="A30" s="18">
        <f t="shared" si="2"/>
        <v>3.6000000000000005</v>
      </c>
      <c r="B30" s="1" t="s">
        <v>122</v>
      </c>
      <c r="C30" s="26">
        <f>C31/('Financial Statements'!B27+'Financial Statements'!B28)</f>
        <v>4.0827204853133119E-3</v>
      </c>
      <c r="D30" s="26">
        <f>D31/('Financial Statements'!C27+'Financial Statements'!C28)</f>
        <v>3.4297308264735786E-3</v>
      </c>
      <c r="E30" s="26">
        <f>E31/('Financial Statements'!D27+'Financial Statements'!D28)</f>
        <v>2.5224243128642151E-3</v>
      </c>
      <c r="F30" t="s">
        <v>168</v>
      </c>
    </row>
    <row r="31" spans="1:6" x14ac:dyDescent="0.3">
      <c r="A31" s="18"/>
      <c r="B31" s="3" t="s">
        <v>123</v>
      </c>
      <c r="C31">
        <f>'Financial Statements'!B91-'Financial Statements'!B96</f>
        <v>132859</v>
      </c>
      <c r="D31">
        <f>'Financial Statements'!C91-'Financial Statements'!C96</f>
        <v>115123</v>
      </c>
      <c r="E31">
        <f>'Financial Statements'!D91-'Financial Statements'!D96</f>
        <v>87983</v>
      </c>
      <c r="F31" t="s">
        <v>167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6">
        <f>'Financial Statements'!B8/'Financial Statements'!B47</f>
        <v>1.8142535081665516</v>
      </c>
      <c r="D35" s="26">
        <f>'Financial Statements'!C8/'Financial Statements'!C47</f>
        <v>1.6922966608994938</v>
      </c>
      <c r="E35" s="26">
        <f>'Financial Statements'!D8/'Financial Statements'!D47</f>
        <v>1.5236020535590398</v>
      </c>
    </row>
    <row r="36" spans="1:6" x14ac:dyDescent="0.3">
      <c r="A36" s="18">
        <f t="shared" si="3"/>
        <v>4.2999999999999989</v>
      </c>
      <c r="B36" s="1" t="s">
        <v>127</v>
      </c>
      <c r="C36" s="26">
        <f>'Financial Statements'!B12/(('Financial Statements'!B39+'Financial Statements'!B85)/2)</f>
        <v>69.532192846034221</v>
      </c>
      <c r="D36" s="26">
        <f>'Financial Statements'!C12/(('Financial Statements'!C39+'Financial Statements'!C85)/2)</f>
        <v>108.16708989334688</v>
      </c>
      <c r="E36" s="26">
        <f>'Financial Statements'!D12/(('Financial Statements'!D39+'Financial Statements'!D85)/2)</f>
        <v>86.20183019827148</v>
      </c>
      <c r="F36" t="s">
        <v>172</v>
      </c>
    </row>
    <row r="37" spans="1:6" x14ac:dyDescent="0.3">
      <c r="A37" s="18">
        <f t="shared" si="3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Statements'!C22/'Financial Statements'!C48</f>
        <v>0.26974205275183616</v>
      </c>
      <c r="E37" s="26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6">
        <f>'Financial Statements'!B121/'List of Ratios'!C41</f>
        <v>22.618657937806869</v>
      </c>
      <c r="D40" s="26">
        <f>'Financial Statements'!C121/'List of Ratios'!D41</f>
        <v>25.222816399286987</v>
      </c>
      <c r="E40" s="26">
        <f>'Financial Statements'!D121/'List of Ratios'!E41</f>
        <v>35.307926829268297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6" x14ac:dyDescent="0.3">
      <c r="A42" s="18">
        <f t="shared" si="4"/>
        <v>5.2999999999999989</v>
      </c>
      <c r="B42" s="1" t="s">
        <v>132</v>
      </c>
      <c r="C42" s="26">
        <f>'Financial Statements'!B121/'List of Ratios'!C43</f>
        <v>44.526132495263646</v>
      </c>
      <c r="D42" s="26">
        <f>'Financial Statements'!C121/'List of Ratios'!D43</f>
        <v>37.82510760025361</v>
      </c>
      <c r="E42" s="26">
        <f>'Financial Statements'!D121/'List of Ratios'!E43</f>
        <v>31.067853247524447</v>
      </c>
    </row>
    <row r="43" spans="1:6" x14ac:dyDescent="0.3">
      <c r="A43" s="18">
        <f t="shared" si="4"/>
        <v>5.3999999999999986</v>
      </c>
      <c r="B43" s="3" t="s">
        <v>133</v>
      </c>
      <c r="C43" s="26">
        <f>('Financial Statements'!B48-'Financial Statements'!B62)/'Financial Statements'!B30</f>
        <v>3.1037952827971451</v>
      </c>
      <c r="D43" s="26">
        <f>('Financial Statements'!C48-'Financial Statements'!C62)/'Financial Statements'!C30</f>
        <v>3.740901453484597</v>
      </c>
      <c r="E43" s="26">
        <f>('Financial Statements'!D48-'Financial Statements'!D62)/'Financial Statements'!D30</f>
        <v>3.7276473233382479</v>
      </c>
    </row>
    <row r="44" spans="1:6" x14ac:dyDescent="0.3">
      <c r="A44" s="18">
        <f t="shared" si="4"/>
        <v>5.4999999999999982</v>
      </c>
      <c r="B44" s="1" t="s">
        <v>134</v>
      </c>
      <c r="C44" s="26">
        <f>-'Financial Statements'!B102/'Financial Statements'!B22</f>
        <v>0.14870294480125848</v>
      </c>
      <c r="D44" s="26">
        <f>-'Financial Statements'!C102/'Financial Statements'!C22</f>
        <v>0.15279890156316012</v>
      </c>
      <c r="E44" s="26">
        <f>-'Financial Statements'!D102/'Financial Statements'!D22</f>
        <v>0.24526658654264863</v>
      </c>
    </row>
    <row r="45" spans="1:6" x14ac:dyDescent="0.3">
      <c r="A45" s="18"/>
      <c r="B45" s="3" t="s">
        <v>135</v>
      </c>
      <c r="C45" s="26">
        <f>-'Financial Statements'!B102/'Financial Statements'!B30</f>
        <v>0.90905087211857494</v>
      </c>
      <c r="D45" s="26">
        <f>-'Financial Statements'!C102/'Financial Statements'!C30</f>
        <v>0.85781615672153533</v>
      </c>
      <c r="E45" s="26">
        <f>-'Financial Statements'!D102/'Financial Statements'!D30</f>
        <v>0.80333341434558025</v>
      </c>
    </row>
    <row r="46" spans="1:6" x14ac:dyDescent="0.3">
      <c r="A46" s="18">
        <f>+A44+0.1</f>
        <v>5.5999999999999979</v>
      </c>
      <c r="B46" s="1" t="s">
        <v>136</v>
      </c>
      <c r="C46" s="26">
        <f>'List of Ratios'!C45/'Financial Statements'!B121</f>
        <v>6.5777921282096597E-3</v>
      </c>
      <c r="D46" s="26">
        <f>'List of Ratios'!D45/'Financial Statements'!C121</f>
        <v>6.0623049944984828E-3</v>
      </c>
      <c r="E46" s="26">
        <f>'List of Ratios'!E45/'Financial Statements'!D121</f>
        <v>6.9366498087002869E-3</v>
      </c>
    </row>
    <row r="47" spans="1:6" x14ac:dyDescent="0.3">
      <c r="A47" s="18">
        <f t="shared" ref="A47:A50" si="5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6" x14ac:dyDescent="0.3">
      <c r="A48" s="18">
        <f t="shared" si="5"/>
        <v>5.6999999999999975</v>
      </c>
      <c r="B48" s="1" t="s">
        <v>138</v>
      </c>
      <c r="C48" s="26">
        <f>'Financial Statements'!B18/('Financial Statements'!B69-'Financial Statements'!B56)</f>
        <v>0.60087134570590572</v>
      </c>
      <c r="D48" s="26">
        <f>'Financial Statements'!C18/('Financial Statements'!C69-'Financial Statements'!C56)</f>
        <v>0.48309913489209433</v>
      </c>
      <c r="E48" s="26">
        <f>'Financial Statements'!D18/('Financial Statements'!D69-'Financial Statements'!D56)</f>
        <v>0.30338312829525482</v>
      </c>
      <c r="F48" t="s">
        <v>169</v>
      </c>
    </row>
    <row r="49" spans="1:6" x14ac:dyDescent="0.3">
      <c r="A49" s="18">
        <f t="shared" si="5"/>
        <v>0.2</v>
      </c>
      <c r="B49" s="1" t="s">
        <v>128</v>
      </c>
      <c r="C49" s="26">
        <f>'Financial Statements'!B22/'Financial Statements'!B48</f>
        <v>0.28292440929256851</v>
      </c>
      <c r="D49" s="26">
        <f>'Financial Statements'!C22/'Financial Statements'!C48</f>
        <v>0.26974205275183616</v>
      </c>
      <c r="E49" s="26">
        <f>'Financial Statements'!D22/'Financial Statements'!D48</f>
        <v>0.1772557180259843</v>
      </c>
    </row>
    <row r="50" spans="1:6" x14ac:dyDescent="0.3">
      <c r="A50" s="18">
        <f t="shared" si="5"/>
        <v>5.7999999999999972</v>
      </c>
      <c r="B50" s="1" t="s">
        <v>139</v>
      </c>
      <c r="C50" s="26">
        <f>C51/C19</f>
        <v>17.1775854773596</v>
      </c>
      <c r="D50" s="26">
        <f t="shared" ref="D50:E50" si="6">D51/D19</f>
        <v>19.629137079670308</v>
      </c>
      <c r="E50" s="26">
        <f t="shared" si="6"/>
        <v>25.844622250465452</v>
      </c>
    </row>
    <row r="51" spans="1:6" x14ac:dyDescent="0.3">
      <c r="A51" s="18"/>
      <c r="B51" s="3" t="s">
        <v>140</v>
      </c>
      <c r="C51" s="26">
        <f>('Financial Statements'!B121*'Financial Statements'!B30)+'Financial Statements'!B55-'Financial Statements'!B110</f>
        <v>2242379.1857999996</v>
      </c>
      <c r="D51" s="26">
        <f>('Financial Statements'!C121*'Financial Statements'!C30)+'Financial Statements'!C55-'Financial Statements'!C110</f>
        <v>2360070.0385000003</v>
      </c>
      <c r="E51" s="12">
        <f>('Financial Statements'!D121*'Financial Statements'!D30)+'Financial Statements'!D55-'Financial Statements'!D110</f>
        <v>1998926.46334</v>
      </c>
    </row>
    <row r="52" spans="1:6" x14ac:dyDescent="0.3">
      <c r="A52" s="18"/>
      <c r="B52" s="3"/>
    </row>
    <row r="54" spans="1:6" x14ac:dyDescent="0.3">
      <c r="A54">
        <v>6</v>
      </c>
      <c r="B54" s="11" t="s">
        <v>155</v>
      </c>
    </row>
    <row r="55" spans="1:6" x14ac:dyDescent="0.3">
      <c r="A55">
        <v>6.1</v>
      </c>
      <c r="B55" t="str">
        <f>Instructions!A9</f>
        <v>Sales (each category and net sales)</v>
      </c>
      <c r="C55">
        <f>(('Financial Statements'!B8-'Financial Statements'!C8)/'Financial Statements'!C8)*100</f>
        <v>7.7937876041846055</v>
      </c>
      <c r="D55">
        <f>(('Financial Statements'!C8-'Financial Statements'!D8)/'Financial Statements'!D8)*100</f>
        <v>33.25938473307469</v>
      </c>
      <c r="F55" t="s">
        <v>171</v>
      </c>
    </row>
    <row r="56" spans="1:6" x14ac:dyDescent="0.3">
      <c r="A56">
        <v>6.2</v>
      </c>
      <c r="B56" t="str">
        <f>Instructions!A10</f>
        <v>Gross profits</v>
      </c>
      <c r="C56">
        <f>(('Financial Statements'!B13-'Financial Statements'!C13)/'Financial Statements'!C13)*100</f>
        <v>11.741997958596142</v>
      </c>
      <c r="D56">
        <f>(('Financial Statements'!C13-'Financial Statements'!D13)/'Financial Statements'!D13)*100</f>
        <v>45.61911658218682</v>
      </c>
    </row>
    <row r="57" spans="1:6" x14ac:dyDescent="0.3">
      <c r="A57">
        <v>6.3</v>
      </c>
      <c r="B57" t="s">
        <v>11</v>
      </c>
      <c r="C57">
        <f>(('Financial Statements'!B15-'Financial Statements'!C15)/'Financial Statements'!C15)*100</f>
        <v>19.791001186456146</v>
      </c>
      <c r="D57">
        <f>(('Financial Statements'!C15-'Financial Statements'!D15)/'Financial Statements'!D15)*100</f>
        <v>16.862201365187712</v>
      </c>
    </row>
    <row r="58" spans="1:6" x14ac:dyDescent="0.3">
      <c r="A58">
        <v>6.4</v>
      </c>
      <c r="B58" t="s">
        <v>12</v>
      </c>
      <c r="C58">
        <f>(('Financial Statements'!B16-'Financial Statements'!C16)/'Financial Statements'!C16)*100</f>
        <v>14.203795567287125</v>
      </c>
      <c r="D58">
        <f>(('Financial Statements'!C16-'Financial Statements'!D16)/'Financial Statements'!D16)*100</f>
        <v>10.328379192608958</v>
      </c>
    </row>
    <row r="59" spans="1:6" x14ac:dyDescent="0.3">
      <c r="A59">
        <v>6.5</v>
      </c>
      <c r="B59" t="s">
        <v>18</v>
      </c>
      <c r="C59">
        <f>(('Financial Statements'!B22-'Financial Statements'!C22)/'Financial Statements'!C22)*100</f>
        <v>5.4108576256865231</v>
      </c>
      <c r="D59">
        <f>(('Financial Statements'!C22-'Financial Statements'!D22)/'Financial Statements'!D22)*100</f>
        <v>64.916131055024294</v>
      </c>
    </row>
    <row r="60" spans="1:6" x14ac:dyDescent="0.3">
      <c r="A60">
        <v>6.6</v>
      </c>
      <c r="B60" t="s">
        <v>156</v>
      </c>
      <c r="C60">
        <f>(('Financial Statements'!B69-'Financial Statements'!C69)/'Financial Statements'!C69)*100</f>
        <v>0.49942735369029234</v>
      </c>
      <c r="D60">
        <f>(('Financial Statements'!C69-'Financial Statements'!D69)/'Financial Statements'!D69)*100</f>
        <v>8.3714123400681704</v>
      </c>
    </row>
    <row r="63" spans="1:6" x14ac:dyDescent="0.3">
      <c r="A63">
        <v>7</v>
      </c>
      <c r="B63" s="7" t="s">
        <v>157</v>
      </c>
    </row>
    <row r="64" spans="1:6" x14ac:dyDescent="0.3">
      <c r="B64" t="str">
        <f>Instructions!A15</f>
        <v>COGS (Cost of goods sold)</v>
      </c>
      <c r="C64">
        <f>('Financial Statements'!B12/'Financial Statements'!B8)*100</f>
        <v>56.690369438639912</v>
      </c>
      <c r="D64">
        <f>('Financial Statements'!C12/'Financial Statements'!C8)*100</f>
        <v>58.220640374832222</v>
      </c>
      <c r="E64">
        <f>('Financial Statements'!D12/'Financial Statements'!D8)*100</f>
        <v>61.76675227218913</v>
      </c>
    </row>
    <row r="65" spans="1:6" x14ac:dyDescent="0.3">
      <c r="B65" t="str">
        <f>Instructions!A16</f>
        <v>Gross profits</v>
      </c>
      <c r="C65">
        <f>('Financial Statements'!B13/'Financial Statements'!B8)*100</f>
        <v>43.309630561360088</v>
      </c>
      <c r="D65">
        <f>('Financial Statements'!C13/'Financial Statements'!C8)*100</f>
        <v>41.779359625167778</v>
      </c>
      <c r="E65">
        <f>('Financial Statements'!D13/'Financial Statements'!D8)*100</f>
        <v>38.233247727810863</v>
      </c>
    </row>
    <row r="66" spans="1:6" x14ac:dyDescent="0.3">
      <c r="B66" t="s">
        <v>11</v>
      </c>
      <c r="C66">
        <f>('Financial Statements'!B15/'Financial Statements'!B8)*100</f>
        <v>6.6571483637986653</v>
      </c>
      <c r="D66">
        <f>('Financial Statements'!C15/'Financial Statements'!C8)*100</f>
        <v>5.9904269074427923</v>
      </c>
      <c r="E66">
        <f>('Financial Statements'!D15/'Financial Statements'!D8)*100</f>
        <v>6.8309564140393064</v>
      </c>
    </row>
    <row r="67" spans="1:6" x14ac:dyDescent="0.3">
      <c r="B67" t="s">
        <v>12</v>
      </c>
      <c r="C67">
        <f>('Financial Statements'!B16/'Financial Statements'!B8)*100</f>
        <v>6.3637378020328264</v>
      </c>
      <c r="D67">
        <f>('Financial Statements'!C16/'Financial Statements'!C8)*100</f>
        <v>6.0065551901633878</v>
      </c>
      <c r="E67">
        <f>('Financial Statements'!D16/'Financial Statements'!D8)*100</f>
        <v>7.254976959364698</v>
      </c>
    </row>
    <row r="68" spans="1:6" x14ac:dyDescent="0.3">
      <c r="B68" t="str">
        <f>Instructions!A18</f>
        <v>Operating income</v>
      </c>
      <c r="C68">
        <f>('Financial Statements'!B18/'Financial Statements'!B8)*100</f>
        <v>30.288744395528592</v>
      </c>
      <c r="D68">
        <f>('Financial Statements'!C18/'Financial Statements'!C8)*100</f>
        <v>29.782377527561593</v>
      </c>
      <c r="E68">
        <f>('Financial Statements'!D18/'Financial Statements'!D8)*100</f>
        <v>24.147314354406863</v>
      </c>
    </row>
    <row r="69" spans="1:6" x14ac:dyDescent="0.3">
      <c r="B69" t="str">
        <f>Instructions!A19</f>
        <v>Net profit</v>
      </c>
      <c r="C69">
        <f>('Financial Statements'!B22/'Financial Statements'!B8)*100</f>
        <v>25.309640705199733</v>
      </c>
      <c r="D69">
        <f>('Financial Statements'!C22/'Financial Statements'!C8)*100</f>
        <v>25.881793355694239</v>
      </c>
      <c r="E69">
        <f>('Financial Statements'!D22/'Financial Statements'!D8)*100</f>
        <v>20.913611278072235</v>
      </c>
    </row>
    <row r="72" spans="1:6" x14ac:dyDescent="0.3">
      <c r="A72">
        <v>8</v>
      </c>
      <c r="B72" s="7" t="s">
        <v>158</v>
      </c>
    </row>
    <row r="73" spans="1:6" x14ac:dyDescent="0.3">
      <c r="A73">
        <v>8.1</v>
      </c>
      <c r="B73" t="str">
        <f>Instructions!A22</f>
        <v>Income tax rate</v>
      </c>
      <c r="C73">
        <f>('Financial Statements'!B21/'Financial Statements'!B20)*100</f>
        <v>16.204461684424405</v>
      </c>
      <c r="D73">
        <f>('Financial Statements'!C21/'Financial Statements'!C20)*100</f>
        <v>13.302260844085087</v>
      </c>
      <c r="E73">
        <f>('Financial Statements'!D21/'Financial Statements'!D20)*100</f>
        <v>14.428164731484102</v>
      </c>
    </row>
    <row r="74" spans="1:6" x14ac:dyDescent="0.3">
      <c r="A74">
        <v>8.1999999999999993</v>
      </c>
      <c r="B74" t="str">
        <f>Instructions!A23</f>
        <v>Capex as a percentage of sales</v>
      </c>
      <c r="C74">
        <f>(('Financial Statements'!B95+'Financial Statements'!B104+'Financial Statements'!B79)/'Financial Statements'!B8)*100</f>
        <v>13.697987462214197</v>
      </c>
      <c r="D74">
        <f>(('Financial Statements'!C95+'Financial Statements'!C104+'Financial Statements'!C79)/'Financial Statements'!C8)*100</f>
        <v>21.632947621351658</v>
      </c>
      <c r="E74">
        <f>(('Financial Statements'!D95+'Financial Statements'!D104+'Financial Statements'!D79)/'Financial Statements'!D8)*100</f>
        <v>28.2753219314063</v>
      </c>
    </row>
    <row r="75" spans="1:6" x14ac:dyDescent="0.3">
      <c r="A75">
        <v>8.3000000000000007</v>
      </c>
      <c r="B75" t="str">
        <f>Instructions!A24</f>
        <v>Capex as a percentage of fixed assets</v>
      </c>
      <c r="C75">
        <f>(('Financial Statements'!B95+'Financial Statements'!B104+'Financial Statements'!B79)/'Financial Statements'!B45)*100</f>
        <v>128.24987534724696</v>
      </c>
      <c r="D75">
        <f>(('Financial Statements'!C95+'Financial Statements'!C104+'Financial Statements'!C79)/'Financial Statements'!C45)*100</f>
        <v>200.65162271805272</v>
      </c>
      <c r="E75">
        <f>(('Financial Statements'!D95+'Financial Statements'!D104+'Financial Statements'!D79)/'Financial Statements'!D45)*100</f>
        <v>211.11896861230485</v>
      </c>
      <c r="F75" t="s">
        <v>170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2023-09-29T20:22:34Z</dcterms:modified>
</cp:coreProperties>
</file>