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CFCE4037-6FEF-410D-9D92-9FD42CBEA2E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E9" i="3" l="1"/>
  <c r="L26" i="3" l="1"/>
  <c r="K26" i="3"/>
  <c r="J26" i="3"/>
  <c r="L25" i="3"/>
  <c r="K25" i="3"/>
  <c r="J25" i="3"/>
  <c r="K24" i="3"/>
  <c r="L24" i="3"/>
  <c r="J24" i="3"/>
  <c r="J22" i="3"/>
  <c r="K22" i="3"/>
  <c r="L22" i="3"/>
  <c r="J21" i="3"/>
  <c r="K21" i="3"/>
  <c r="L21" i="3"/>
  <c r="J20" i="3"/>
  <c r="K20" i="3"/>
  <c r="L20" i="3"/>
  <c r="J19" i="3"/>
  <c r="K19" i="3"/>
  <c r="L19" i="3"/>
  <c r="J18" i="3"/>
  <c r="K18" i="3"/>
  <c r="L18" i="3"/>
  <c r="K17" i="3"/>
  <c r="L17" i="3"/>
  <c r="J17" i="3"/>
  <c r="J15" i="3"/>
  <c r="K15" i="3"/>
  <c r="J14" i="3"/>
  <c r="K14" i="3"/>
  <c r="J13" i="3"/>
  <c r="K13" i="3"/>
  <c r="J12" i="3"/>
  <c r="K12" i="3"/>
  <c r="J11" i="3"/>
  <c r="K11" i="3"/>
  <c r="J10" i="3"/>
  <c r="K10" i="3"/>
  <c r="J9" i="3"/>
  <c r="K9" i="3"/>
  <c r="J8" i="3"/>
  <c r="K8" i="3"/>
  <c r="J6" i="3"/>
  <c r="K6" i="3"/>
  <c r="J7" i="3"/>
  <c r="K7" i="3"/>
  <c r="J5" i="3"/>
  <c r="K5" i="3"/>
  <c r="E50" i="3"/>
  <c r="D50" i="3"/>
  <c r="C50" i="3"/>
  <c r="D49" i="3"/>
  <c r="E49" i="3"/>
  <c r="C49" i="3"/>
  <c r="E48" i="3"/>
  <c r="C48" i="3"/>
  <c r="D47" i="3"/>
  <c r="E47" i="3"/>
  <c r="C47" i="3"/>
  <c r="E46" i="3"/>
  <c r="D46" i="3"/>
  <c r="C46" i="3"/>
  <c r="D44" i="3"/>
  <c r="E44" i="3"/>
  <c r="C44" i="3"/>
  <c r="E42" i="3"/>
  <c r="D42" i="3"/>
  <c r="C42" i="3"/>
  <c r="D43" i="3"/>
  <c r="E43" i="3"/>
  <c r="C43" i="3"/>
  <c r="E40" i="3"/>
  <c r="D40" i="3"/>
  <c r="C40" i="3"/>
  <c r="E41" i="3"/>
  <c r="D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E30" i="3"/>
  <c r="D30" i="3"/>
  <c r="C30" i="3"/>
  <c r="D31" i="3"/>
  <c r="C31" i="3"/>
  <c r="D29" i="3"/>
  <c r="C29" i="3"/>
  <c r="D14" i="3"/>
  <c r="D13" i="3" s="1"/>
  <c r="E14" i="3"/>
  <c r="E13" i="3" s="1"/>
  <c r="D21" i="3"/>
  <c r="D28" i="3" s="1"/>
  <c r="E21" i="3"/>
  <c r="E28" i="3" s="1"/>
  <c r="D19" i="3"/>
  <c r="D18" i="3" s="1"/>
  <c r="E19" i="3"/>
  <c r="E29" i="3" s="1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1" i="3"/>
  <c r="C20" i="3" s="1"/>
  <c r="C19" i="3"/>
  <c r="C18" i="3" s="1"/>
  <c r="D17" i="3"/>
  <c r="E17" i="3"/>
  <c r="C17" i="3"/>
  <c r="C14" i="3"/>
  <c r="C13" i="3" s="1"/>
  <c r="D11" i="3"/>
  <c r="E11" i="3"/>
  <c r="C11" i="3"/>
  <c r="D10" i="3"/>
  <c r="E10" i="3"/>
  <c r="C10" i="3"/>
  <c r="D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48" i="3" l="1"/>
  <c r="D12" i="3"/>
  <c r="C12" i="3"/>
  <c r="E12" i="3"/>
  <c r="E18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<sst xmlns="http://schemas.openxmlformats.org/spreadsheetml/2006/main" count="220" uniqueCount="183">
  <si>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</si>
  <si>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</si>
  <si>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</si>
  <si>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</si>
  <si>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</si>
  <si>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</si>
  <si>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</si>
  <si>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</si>
  <si>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</si>
  <si>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</si>
  <si>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</si>
  <si>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</si>
  <si>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</si>
  <si>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</si>
  <si>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</si>
  <si>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</si>
  <si>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</si>
  <si>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</si>
  <si>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</si>
  <si>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</si>
  <si>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</si>
  <si>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</si>
  <si>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</si>
  <si>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</si>
  <si>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</si>
  <si>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</si>
  <si>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</si>
  <si>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</si>
  <si>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</si>
  <si>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</si>
  <si>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</si>
  <si>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</si>
  <si>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</si>
  <si>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</si>
  <si>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</si>
  <si>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</si>
  <si>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</si>
  <si>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</si>
  <si>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</si>
  <si>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</si>
  <si>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</si>
  <si>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</si>
  <si>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</si>
  <si>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</si>
  <si>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</si>
  <si>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</si>
  <si>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</si>
  <si>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</si>
  <si>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</si>
  <si>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</si>
  <si>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</si>
  <si>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</si>
  <si>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</si>
  <si>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</si>
  <si>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</si>
  <si>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</si>
  <si>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</si>
  <si>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</si>
  <si>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</si>
  <si>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</si>
  <si>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</si>
  <si>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</si>
  <si>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</si>
  <si>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</si>
  <si>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</si>
  <si>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</si>
  <si>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</si>
  <si>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</si>
  <si>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</si>
  <si>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</si>
  <si>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</si>
  <si>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</si>
  <si>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</si>
  <si>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</si>
  <si>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</si>
  <si>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</si>
  <si>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</si>
  <si>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</si>
  <si>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</si>
  <si>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</si>
  <si>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</si>
  <si>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</si>
  <si>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</si>
  <si>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</si>
  <si>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</si>
  <si>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</si>
  <si>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</si>
  <si>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</si>
  <si>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</si>
  <si>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</si>
  <si>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</si>
  <si>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</si>
  <si>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</si>
  <si>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</si>
  <si>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</si>
  <si>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</si>
  <si>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</si>
  <si>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</si>
  <si>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</si>
  <si>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</si>
  <si>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</si>
  <si>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</si>
  <si>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</si>
  <si>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</si>
  <si>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</si>
  <si>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</si>
  <si>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</si>
  <si>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</si>
  <si>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</si>
  <si>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</si>
  <si>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</si>
  <si>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</si>
  <si>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</si>
  <si>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</si>
  <si>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</si>
  <si>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</si>
  <si>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</si>
  <si>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</si>
  <si>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</si>
  <si>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</si>
  <si>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</si>
  <si>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</si>
  <si>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</si>
  <si>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</si>
  <si>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</si>
  <si>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</si>
  <si>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</si>
  <si>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</si>
  <si>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</si>
  <si>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</si>
  <si>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</si>
  <si>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</si>
  <si>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</si>
  <si>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</si>
  <si>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</si>
  <si>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</si>
  <si>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</si>
  <si>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</si>
  <si>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</si>
  <si>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</si>
  <si>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</si>
  <si>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</si>
  <si>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</si>
  <si>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</si>
  <si>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</si>
  <si>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</si>
  <si>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</si>
  <si>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</si>
  <si>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</si>
  <si>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</si>
  <si>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Years ended September  (In Million)</t>
  </si>
  <si>
    <t>Additional Tasks</t>
  </si>
  <si>
    <t>% Increase in Net Sales</t>
  </si>
  <si>
    <t>% Increase Product Sales</t>
  </si>
  <si>
    <t>% Increase Service Sales</t>
  </si>
  <si>
    <t>% Increase Gross Profit</t>
  </si>
  <si>
    <t>% Increase Operating Profit</t>
  </si>
  <si>
    <t>% Increase Net Profit</t>
  </si>
  <si>
    <t>% Increase R&amp;D</t>
  </si>
  <si>
    <t>% Increase General Expenses</t>
  </si>
  <si>
    <t>% Increase Assets</t>
  </si>
  <si>
    <t>% Increase Liabilities</t>
  </si>
  <si>
    <t>% Decrease Equity</t>
  </si>
  <si>
    <t>COGS as % of Net Sales</t>
  </si>
  <si>
    <t>Gross Profit as % of Net Sales</t>
  </si>
  <si>
    <t>R&amp;D as % of Net Sales</t>
  </si>
  <si>
    <t>General Expenses as % of Net Sales</t>
  </si>
  <si>
    <t>Operating Income as % of Net Sales</t>
  </si>
  <si>
    <t>Net Income as % of Net Sales</t>
  </si>
  <si>
    <t>-</t>
  </si>
  <si>
    <t>CAPEX</t>
  </si>
  <si>
    <t>Daily Operational Expenses = Annual Operating Expenses - Noncash Charges i.e. Depreciation &amp; Amortization</t>
  </si>
  <si>
    <t>Inventory Days + Receivable Days - Payable Days</t>
  </si>
  <si>
    <t>remove current portion if debt from formula</t>
  </si>
  <si>
    <t>EBIT / (Interest + Debt repayment), debt repayment can be found in cash flow statement</t>
  </si>
  <si>
    <t>Cash from operations +CAPEX + Proceeds from issuance of term debt</t>
  </si>
  <si>
    <t>Link EPS to income statement</t>
  </si>
  <si>
    <t>Link formula to Financial statements</t>
  </si>
  <si>
    <t>Capital employed = Debt + Total equity</t>
  </si>
  <si>
    <t>Link formula to Financial statements, Market Cap + Total Debt - (Cash + Cash Equivalents), where market cap = Share price * diluted number of shares</t>
  </si>
  <si>
    <t>Link to financial statement, Total dividends paid/Number of shares Dividends paid can be found in cash flow</t>
  </si>
  <si>
    <t>Link Capex  from cash flow (purchase of Property plant and equipment)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</si>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</sst>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"/>
    <numFmt numFmtId="168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/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B12" sqref="B1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8" workbookViewId="0">
      <selection activeCell="B18" sqref="B18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7" max="7" width="22.44140625" bestFit="1" customWidth="1"/>
    <col min="9" max="9" width="8.777343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0" t="s">
        <v>1</v>
      </c>
      <c r="B2" s="40"/>
      <c r="C2" s="40"/>
      <c r="D2" s="40"/>
    </row>
    <row r="3" spans="1:10" x14ac:dyDescent="0.3">
      <c r="B3" s="39" t="s">
        <v>23</v>
      </c>
      <c r="C3" s="39"/>
      <c r="D3" s="3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  <c r="H5" s="23"/>
      <c r="I5" s="23"/>
      <c r="J5" s="7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G6" s="36"/>
      <c r="H6" s="31"/>
      <c r="I6" s="31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G7" s="36"/>
      <c r="H7" s="31"/>
      <c r="I7" s="31"/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G8" s="36"/>
      <c r="H8" s="31"/>
      <c r="I8" s="31"/>
    </row>
    <row r="9" spans="1:10" x14ac:dyDescent="0.3">
      <c r="A9" t="s">
        <v>7</v>
      </c>
      <c r="B9" s="12"/>
      <c r="C9" s="12"/>
      <c r="D9" s="12"/>
      <c r="G9" s="37"/>
      <c r="H9" s="31"/>
      <c r="I9" s="31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G10" s="37"/>
      <c r="H10" s="31"/>
      <c r="I10" s="31"/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G11" s="37"/>
      <c r="H11" s="31"/>
      <c r="I11" s="31"/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37"/>
      <c r="H12" s="31"/>
      <c r="I12" s="31"/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G13" s="37"/>
      <c r="H13" s="27"/>
      <c r="I13" s="27"/>
    </row>
    <row r="14" spans="1:10" x14ac:dyDescent="0.3">
      <c r="A14" t="s">
        <v>10</v>
      </c>
      <c r="B14" s="12"/>
      <c r="C14" s="12"/>
      <c r="D14" s="12"/>
      <c r="G14" s="37"/>
      <c r="H14" s="31"/>
      <c r="I14" s="31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G15" s="37"/>
      <c r="H15" s="31"/>
      <c r="I15" s="31"/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G16" s="37"/>
      <c r="H16" s="31"/>
      <c r="I16" s="31"/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40" t="s">
        <v>24</v>
      </c>
      <c r="B31" s="40"/>
      <c r="C31" s="40"/>
      <c r="D31" s="40"/>
    </row>
    <row r="32" spans="1:4" x14ac:dyDescent="0.3">
      <c r="B32" s="39" t="s">
        <v>142</v>
      </c>
      <c r="C32" s="39"/>
      <c r="D32" s="39"/>
    </row>
    <row r="33" spans="1:6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6" x14ac:dyDescent="0.3">
      <c r="A35" t="s">
        <v>25</v>
      </c>
    </row>
    <row r="36" spans="1:6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6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6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6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6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6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6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6" x14ac:dyDescent="0.3">
      <c r="A43" t="s">
        <v>48</v>
      </c>
      <c r="B43" s="12"/>
      <c r="C43" s="12"/>
      <c r="D43" s="12"/>
    </row>
    <row r="44" spans="1:6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6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6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6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E47" s="38"/>
    </row>
    <row r="48" spans="1:6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 s="30"/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7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G68" s="34"/>
    </row>
    <row r="69" spans="1:7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7" ht="15" thickTop="1" x14ac:dyDescent="0.3"/>
    <row r="71" spans="1:7" x14ac:dyDescent="0.3">
      <c r="A71" s="40" t="s">
        <v>55</v>
      </c>
      <c r="B71" s="40"/>
      <c r="C71" s="40"/>
      <c r="D71" s="40"/>
    </row>
    <row r="72" spans="1:7" x14ac:dyDescent="0.3">
      <c r="B72" s="39" t="s">
        <v>23</v>
      </c>
      <c r="C72" s="39"/>
      <c r="D72" s="39"/>
    </row>
    <row r="73" spans="1:7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7" x14ac:dyDescent="0.3">
      <c r="A75" s="7" t="s">
        <v>56</v>
      </c>
      <c r="B75" s="15"/>
      <c r="C75" s="15"/>
      <c r="D75" s="15"/>
    </row>
    <row r="76" spans="1:7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7" x14ac:dyDescent="0.3">
      <c r="A77" s="11" t="s">
        <v>18</v>
      </c>
      <c r="B77" s="15"/>
      <c r="C77" s="15"/>
      <c r="D77" s="15"/>
    </row>
    <row r="78" spans="1:7" x14ac:dyDescent="0.3">
      <c r="A78" s="1" t="s">
        <v>58</v>
      </c>
      <c r="B78" s="12"/>
      <c r="C78" s="12"/>
      <c r="D78" s="12"/>
    </row>
    <row r="79" spans="1:7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tabSelected="1" topLeftCell="C1" workbookViewId="0">
      <selection activeCell="M1" sqref="M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6.33203125" bestFit="1" customWidth="1"/>
    <col min="6" max="6" width="26.33203125" customWidth="1"/>
    <col min="9" max="9" width="26.77734375" bestFit="1" customWidth="1"/>
    <col min="10" max="12" width="13.6640625" bestFit="1" customWidth="1"/>
    <col min="13" max="13" width="36.44140625" customWidth="1"/>
  </cols>
  <sheetData>
    <row r="1" spans="1:13" ht="60" customHeight="1" x14ac:dyDescent="0.5">
      <c r="A1" s="6"/>
      <c r="B1" s="20" t="s">
        <v>0</v>
      </c>
      <c r="C1" s="19"/>
      <c r="D1" s="19"/>
      <c r="E1" s="19"/>
      <c r="F1" s="42" t="s">
        <v>182</v>
      </c>
      <c r="G1" s="19"/>
      <c r="H1" s="19"/>
      <c r="I1" s="19"/>
      <c r="J1" s="19"/>
      <c r="M1" s="42" t="s">
        <v>182</v>
      </c>
    </row>
    <row r="2" spans="1:13" x14ac:dyDescent="0.3">
      <c r="C2" s="39" t="s">
        <v>150</v>
      </c>
      <c r="D2" s="39"/>
      <c r="E2" s="39"/>
    </row>
    <row r="3" spans="1:13" x14ac:dyDescent="0.3">
      <c r="C3" s="23">
        <f>+'Financial Statements'!B4</f>
        <v>2022</v>
      </c>
      <c r="D3" s="23">
        <f>+'Financial Statements'!C4</f>
        <v>2021</v>
      </c>
      <c r="E3" s="23">
        <f>+'Financial Statements'!D4</f>
        <v>2020</v>
      </c>
      <c r="I3" s="41" t="s">
        <v>151</v>
      </c>
      <c r="J3" s="41"/>
      <c r="K3" s="41"/>
      <c r="L3" s="41"/>
    </row>
    <row r="4" spans="1:13" x14ac:dyDescent="0.3">
      <c r="A4" s="18">
        <v>1</v>
      </c>
      <c r="B4" s="7" t="s">
        <v>99</v>
      </c>
      <c r="J4" s="23">
        <v>2022</v>
      </c>
      <c r="K4" s="23">
        <v>2021</v>
      </c>
      <c r="L4" s="23">
        <v>2020</v>
      </c>
    </row>
    <row r="5" spans="1:13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I5" s="36" t="s">
        <v>153</v>
      </c>
      <c r="J5" s="31">
        <f>('Financial Statements'!B6-'Financial Statements'!C6)/'Financial Statements'!C6</f>
        <v>6.3239764351428418E-2</v>
      </c>
      <c r="K5" s="31">
        <f>('Financial Statements'!C6-'Financial Statements'!D6)/'Financial Statements'!D6</f>
        <v>0.34720743656765435</v>
      </c>
      <c r="L5" s="36" t="s">
        <v>169</v>
      </c>
    </row>
    <row r="6" spans="1:13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I6" s="36" t="s">
        <v>154</v>
      </c>
      <c r="J6" s="31">
        <f>('Financial Statements'!B7-'Financial Statements'!C7)/'Financial Statements'!C7</f>
        <v>0.14181951041286078</v>
      </c>
      <c r="K6" s="31">
        <f>('Financial Statements'!C7-'Financial Statements'!D7)/'Financial Statements'!D7</f>
        <v>0.27259708376729652</v>
      </c>
      <c r="L6" s="36" t="s">
        <v>169</v>
      </c>
    </row>
    <row r="7" spans="1:13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I7" s="36" t="s">
        <v>152</v>
      </c>
      <c r="J7" s="31">
        <f>('Financial Statements'!B8-'Financial Statements'!C8)/'Financial Statements'!C8</f>
        <v>7.7937876041846058E-2</v>
      </c>
      <c r="K7" s="31">
        <f>('Financial Statements'!C8-'Financial Statements'!D8)/'Financial Statements'!D8</f>
        <v>0.33259384733074693</v>
      </c>
      <c r="L7" s="36" t="s">
        <v>169</v>
      </c>
    </row>
    <row r="8" spans="1:13" x14ac:dyDescent="0.3">
      <c r="A8" s="18">
        <f t="shared" si="0"/>
        <v>1.4000000000000004</v>
      </c>
      <c r="B8" s="1" t="s">
        <v>103</v>
      </c>
      <c r="C8" s="24">
        <f>'Financial Statements'!B42/'Financial Statements'!B17</f>
        <v>2.6371603856266432</v>
      </c>
      <c r="D8" s="24">
        <f>'Financial Statements'!C42/'Financial Statements'!C17</f>
        <v>3.072344885729259</v>
      </c>
      <c r="E8" s="24">
        <f>'Financial Statements'!D42/'Financial Statements'!D17</f>
        <v>3.7165873590565841</v>
      </c>
      <c r="F8" t="s">
        <v>171</v>
      </c>
      <c r="I8" s="37" t="s">
        <v>155</v>
      </c>
      <c r="J8" s="35">
        <f>('Financial Statements'!B13-'Financial Statements'!C13)/'Financial Statements'!C13</f>
        <v>0.11741997958596143</v>
      </c>
      <c r="K8" s="35">
        <f>('Financial Statements'!C13-'Financial Statements'!D13)/'Financial Statements'!D13</f>
        <v>0.45619116582186819</v>
      </c>
      <c r="L8" s="36" t="s">
        <v>169</v>
      </c>
    </row>
    <row r="9" spans="1:13" x14ac:dyDescent="0.3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  <c r="I9" s="37" t="s">
        <v>156</v>
      </c>
      <c r="J9" s="35">
        <f>('Financial Statements'!B18-'Financial Statements'!C18)/'Financial Statements'!C18</f>
        <v>9.6265225013538444E-2</v>
      </c>
      <c r="K9" s="35">
        <f>('Financial Statements'!C18-'Financial Statements'!D18)/'Financial Statements'!D18</f>
        <v>0.64357048032826458</v>
      </c>
      <c r="L9" s="36" t="s">
        <v>169</v>
      </c>
    </row>
    <row r="10" spans="1:13" x14ac:dyDescent="0.3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I10" s="37" t="s">
        <v>157</v>
      </c>
      <c r="J10" s="35">
        <f>('Financial Statements'!B22-'Financial Statements'!C22)/'Financial Statements'!C22</f>
        <v>5.4108576256865229E-2</v>
      </c>
      <c r="K10" s="35">
        <f>('Financial Statements'!C22-'Financial Statements'!D22)/'Financial Statements'!D22</f>
        <v>0.64916131055024295</v>
      </c>
      <c r="L10" s="36" t="s">
        <v>169</v>
      </c>
    </row>
    <row r="11" spans="1:13" x14ac:dyDescent="0.3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  <c r="I11" s="37" t="s">
        <v>158</v>
      </c>
      <c r="J11" s="35">
        <f>('Financial Statements'!B15-'Financial Statements'!C15)/'Financial Statements'!C15</f>
        <v>0.19791001186456147</v>
      </c>
      <c r="K11" s="35">
        <f>('Financial Statements'!C15-'Financial Statements'!D15)/'Financial Statements'!D15</f>
        <v>0.16862201365187712</v>
      </c>
      <c r="L11" s="36" t="s">
        <v>169</v>
      </c>
    </row>
    <row r="12" spans="1:13" x14ac:dyDescent="0.3">
      <c r="A12" s="18">
        <f t="shared" si="0"/>
        <v>1.8000000000000007</v>
      </c>
      <c r="B12" s="1" t="s">
        <v>107</v>
      </c>
      <c r="C12" s="26">
        <f>C9+C11</f>
        <v>34.163523430273813</v>
      </c>
      <c r="D12" s="26">
        <f t="shared" ref="D12:E12" si="1">D9+D11</f>
        <v>37.495904589423098</v>
      </c>
      <c r="E12" s="26">
        <f t="shared" si="1"/>
        <v>30.17532050903263</v>
      </c>
      <c r="F12" t="s">
        <v>172</v>
      </c>
      <c r="I12" s="37" t="s">
        <v>159</v>
      </c>
      <c r="J12" s="31">
        <f>('Financial Statements'!B16-'Financial Statements'!C16)/'Financial Statements'!C16</f>
        <v>0.14203795567287125</v>
      </c>
      <c r="K12" s="31">
        <f>('Financial Statements'!C16-'Financial Statements'!D16)/'Financial Statements'!D16</f>
        <v>0.10328379192608958</v>
      </c>
      <c r="L12" s="36" t="s">
        <v>169</v>
      </c>
    </row>
    <row r="13" spans="1:13" x14ac:dyDescent="0.3">
      <c r="A13" s="18">
        <f t="shared" si="0"/>
        <v>1.9000000000000008</v>
      </c>
      <c r="B13" s="1" t="s">
        <v>108</v>
      </c>
      <c r="C13" s="27">
        <f>(C14/'Financial Statements'!B8)</f>
        <v>-4.711052727678481E-2</v>
      </c>
      <c r="D13" s="27">
        <f>(D14/'Financial Statements'!C8)</f>
        <v>2.557289573748623E-2</v>
      </c>
      <c r="E13" s="27">
        <f>(E14/'Financial Statements'!D8)</f>
        <v>0.13959528623208203</v>
      </c>
      <c r="I13" s="37" t="s">
        <v>160</v>
      </c>
      <c r="J13" s="31">
        <f>('Financial Statements'!B48-'Financial Statements'!C48)/'Financial Statements'!C48</f>
        <v>4.9942735369029236E-3</v>
      </c>
      <c r="K13" s="31">
        <f>('Financial Statements'!C48-'Financial Statements'!D48)/'Financial Statements'!D48</f>
        <v>8.3714123400681711E-2</v>
      </c>
      <c r="L13" s="36" t="s">
        <v>169</v>
      </c>
    </row>
    <row r="14" spans="1:13" x14ac:dyDescent="0.3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I14" s="37" t="s">
        <v>161</v>
      </c>
      <c r="J14" s="31">
        <f>('Financial Statements'!B62-'Financial Statements'!C62)/'Financial Statements'!C62</f>
        <v>4.9219900525160468E-2</v>
      </c>
      <c r="K14" s="31">
        <f>('Financial Statements'!C62-'Financial Statements'!D62)/'Financial Statements'!D62</f>
        <v>0.11356841449783213</v>
      </c>
      <c r="L14" s="36" t="s">
        <v>169</v>
      </c>
    </row>
    <row r="15" spans="1:13" x14ac:dyDescent="0.3">
      <c r="A15" s="18"/>
      <c r="I15" s="37" t="s">
        <v>162</v>
      </c>
      <c r="J15" s="31">
        <f>('Financial Statements'!B68-'Financial Statements'!C68)/'Financial Statements'!C68</f>
        <v>-0.19682992550324932</v>
      </c>
      <c r="K15" s="31">
        <f>('Financial Statements'!C68-'Financial Statements'!D68)/'Financial Statements'!D68</f>
        <v>-3.4420483937617659E-2</v>
      </c>
      <c r="L15" s="36" t="s">
        <v>169</v>
      </c>
    </row>
    <row r="16" spans="1:13" x14ac:dyDescent="0.3">
      <c r="A16" s="18">
        <f>+A4+1</f>
        <v>2</v>
      </c>
      <c r="B16" s="17" t="s">
        <v>110</v>
      </c>
    </row>
    <row r="17" spans="1:13" x14ac:dyDescent="0.3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  <c r="I17" s="37" t="s">
        <v>163</v>
      </c>
      <c r="J17" s="31">
        <f>'Financial Statements'!B12/'Financial Statements'!B8</f>
        <v>0.56690369438639909</v>
      </c>
      <c r="K17" s="31">
        <f>'Financial Statements'!C12/'Financial Statements'!C8</f>
        <v>0.58220640374832222</v>
      </c>
      <c r="L17" s="31">
        <f>'Financial Statements'!D12/'Financial Statements'!D8</f>
        <v>0.61766752272189129</v>
      </c>
    </row>
    <row r="18" spans="1:13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  <c r="I18" s="37" t="s">
        <v>164</v>
      </c>
      <c r="J18" s="35">
        <f>'Financial Statements'!B13/'Financial Statements'!B8</f>
        <v>0.43309630561360085</v>
      </c>
      <c r="K18" s="35">
        <f>'Financial Statements'!C13/'Financial Statements'!C8</f>
        <v>0.41779359625167778</v>
      </c>
      <c r="L18" s="35">
        <f>'Financial Statements'!D13/'Financial Statements'!D8</f>
        <v>0.38233247727810865</v>
      </c>
    </row>
    <row r="19" spans="1:13" x14ac:dyDescent="0.3">
      <c r="A19" s="18"/>
      <c r="B19" s="3" t="s">
        <v>112</v>
      </c>
      <c r="C19" s="32">
        <f>'Financial Statements'!B18+'Financial Statements'!B79</f>
        <v>130541</v>
      </c>
      <c r="D19" s="32">
        <f>'Financial Statements'!C18+'Financial Statements'!C79</f>
        <v>120233</v>
      </c>
      <c r="E19" s="29">
        <f>'Financial Statements'!D18+'Financial Statements'!D79</f>
        <v>77344</v>
      </c>
      <c r="I19" s="37" t="s">
        <v>165</v>
      </c>
      <c r="J19" s="31">
        <f>'Financial Statements'!B15/'Financial Statements'!B8</f>
        <v>6.657148363798665E-2</v>
      </c>
      <c r="K19" s="31">
        <f>'Financial Statements'!C15/'Financial Statements'!C8</f>
        <v>5.9904269074427925E-2</v>
      </c>
      <c r="L19" s="31">
        <f>'Financial Statements'!D15/'Financial Statements'!D8</f>
        <v>6.8309564140393061E-2</v>
      </c>
    </row>
    <row r="20" spans="1:13" x14ac:dyDescent="0.3">
      <c r="A20" s="18">
        <f>+A18+0.1</f>
        <v>2.3000000000000003</v>
      </c>
      <c r="B20" s="1" t="s">
        <v>113</v>
      </c>
      <c r="C20" s="28">
        <f>C21/'Financial Statements'!B8</f>
        <v>0.30288744395528594</v>
      </c>
      <c r="D20" s="28">
        <f>D21/'Financial Statements'!C8</f>
        <v>0.29782377527561593</v>
      </c>
      <c r="E20" s="28">
        <f>E21/'Financial Statements'!D8</f>
        <v>0.24147314354406862</v>
      </c>
      <c r="I20" s="37" t="s">
        <v>166</v>
      </c>
      <c r="J20" s="31">
        <f>'Financial Statements'!B16/'Financial Statements'!B8</f>
        <v>6.3637378020328261E-2</v>
      </c>
      <c r="K20" s="31">
        <f>'Financial Statements'!C16/'Financial Statements'!C8</f>
        <v>6.006555190163388E-2</v>
      </c>
      <c r="L20" s="31">
        <f>'Financial Statements'!D16/'Financial Statements'!D8</f>
        <v>7.2549769593646979E-2</v>
      </c>
    </row>
    <row r="21" spans="1:13" x14ac:dyDescent="0.3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I21" s="37" t="s">
        <v>167</v>
      </c>
      <c r="J21" s="31">
        <f>'Financial Statements'!B18/'Financial Statements'!B8</f>
        <v>0.30288744395528594</v>
      </c>
      <c r="K21" s="31">
        <f>'Financial Statements'!C18/'Financial Statements'!C8</f>
        <v>0.29782377527561593</v>
      </c>
      <c r="L21" s="31">
        <f>'Financial Statements'!D18/'Financial Statements'!D8</f>
        <v>0.24147314354406862</v>
      </c>
    </row>
    <row r="22" spans="1:13" x14ac:dyDescent="0.3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I22" s="37" t="s">
        <v>168</v>
      </c>
      <c r="J22" s="31">
        <f>'Financial Statements'!B22/'Financial Statements'!B8</f>
        <v>0.25309640705199732</v>
      </c>
      <c r="K22" s="31">
        <f>'Financial Statements'!C22/'Financial Statements'!C8</f>
        <v>0.25881793355694238</v>
      </c>
      <c r="L22" s="31">
        <f>'Financial Statements'!D22/'Financial Statements'!D8</f>
        <v>0.20913611278072236</v>
      </c>
    </row>
    <row r="23" spans="1:13" x14ac:dyDescent="0.3">
      <c r="A23" s="18"/>
    </row>
    <row r="24" spans="1:13" x14ac:dyDescent="0.3">
      <c r="A24" s="18">
        <f>+A16+1</f>
        <v>3</v>
      </c>
      <c r="B24" s="7" t="s">
        <v>116</v>
      </c>
      <c r="I24" s="36" t="s">
        <v>94</v>
      </c>
      <c r="J24" s="31">
        <f>'Financial Statements'!B113/'Financial Statements'!B20</f>
        <v>0.1643367505436471</v>
      </c>
      <c r="K24" s="31">
        <f>'Financial Statements'!C113/'Financial Statements'!C20</f>
        <v>0.23244846942045841</v>
      </c>
      <c r="L24" s="31">
        <f>'Financial Statements'!D113/'Financial Statements'!D20</f>
        <v>0.14161362924982487</v>
      </c>
    </row>
    <row r="25" spans="1:13" x14ac:dyDescent="0.3">
      <c r="A25" s="18">
        <f>+A24+0.1</f>
        <v>3.1</v>
      </c>
      <c r="B25" s="1" t="s">
        <v>117</v>
      </c>
      <c r="C25" s="24">
        <f>('Financial Statements'!B55+'Financial Statements'!B59+'Financial Statements'!B54)/'Financial Statements'!B68</f>
        <v>2.3695334701610355</v>
      </c>
      <c r="D25" s="24">
        <f>('Financial Statements'!C55+'Financial Statements'!C59+'Financial Statements'!C54)/'Financial Statements'!C68</f>
        <v>1.9768426058012363</v>
      </c>
      <c r="E25" s="24">
        <f>('Financial Statements'!D55+'Financial Statements'!D59+'Financial Statements'!D54)/'Financial Statements'!D68</f>
        <v>1.7208099297509909</v>
      </c>
      <c r="F25" t="s">
        <v>173</v>
      </c>
      <c r="I25" s="36" t="s">
        <v>95</v>
      </c>
      <c r="J25" s="35">
        <f>J27/394328000000</f>
        <v>8.7820291736828218E-2</v>
      </c>
      <c r="K25" s="31">
        <f>K27/365817000000</f>
        <v>7.1675181853221692E-2</v>
      </c>
      <c r="L25" s="31">
        <f>L27/274515000000</f>
        <v>6.5096624956741886E-2</v>
      </c>
      <c r="M25" t="s">
        <v>181</v>
      </c>
    </row>
    <row r="26" spans="1:13" x14ac:dyDescent="0.3">
      <c r="A26" s="18">
        <f t="shared" ref="A26:A30" si="2">+A25+0.1</f>
        <v>3.2</v>
      </c>
      <c r="B26" s="1" t="s">
        <v>118</v>
      </c>
      <c r="C26" s="24">
        <f>('Financial Statements'!B55+'Financial Statements'!B59+'Financial Statements'!B54)/'Financial Statements'!B48</f>
        <v>0.34037504783773442</v>
      </c>
      <c r="D26" s="24">
        <f>('Financial Statements'!C55+'Financial Statements'!C59+'Financial Statements'!C54)/'Financial Statements'!C48</f>
        <v>0.35532276169366556</v>
      </c>
      <c r="E26" s="24">
        <f>('Financial Statements'!D55+'Financial Statements'!D59+'Financial Statements'!D54)/'Financial Statements'!D48</f>
        <v>0.34714469199229364</v>
      </c>
      <c r="F26" t="s">
        <v>173</v>
      </c>
      <c r="I26" s="36" t="s">
        <v>96</v>
      </c>
      <c r="J26" s="35">
        <f>J27/217350000000</f>
        <v>0.15932827237175062</v>
      </c>
      <c r="K26" s="35">
        <f>K27/216166000000</f>
        <v>0.12129567091957107</v>
      </c>
      <c r="L26" s="35">
        <f>L27/180175000000</f>
        <v>9.9181351463854581E-2</v>
      </c>
    </row>
    <row r="27" spans="1:13" x14ac:dyDescent="0.3">
      <c r="A27" s="18">
        <f t="shared" si="2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  <c r="I27" s="36" t="s">
        <v>170</v>
      </c>
      <c r="J27" s="2">
        <v>34630000000</v>
      </c>
      <c r="K27" s="2">
        <v>26220000000</v>
      </c>
      <c r="L27" s="2">
        <v>17870000000</v>
      </c>
    </row>
    <row r="28" spans="1:13" x14ac:dyDescent="0.3">
      <c r="A28" s="18">
        <f t="shared" si="2"/>
        <v>3.4000000000000004</v>
      </c>
      <c r="B28" s="1" t="s">
        <v>120</v>
      </c>
      <c r="C28" s="25">
        <f>C21/'Financial Statements'!B114</f>
        <v>41.68830715532286</v>
      </c>
      <c r="D28" s="25">
        <f>D21/'Financial Statements'!C114</f>
        <v>40.546706363974693</v>
      </c>
      <c r="E28" s="25">
        <f>E21/'Financial Statements'!D114</f>
        <v>22.081279147235175</v>
      </c>
    </row>
    <row r="29" spans="1:13" x14ac:dyDescent="0.3">
      <c r="A29" s="18">
        <f t="shared" si="2"/>
        <v>3.5000000000000004</v>
      </c>
      <c r="B29" s="1" t="s">
        <v>121</v>
      </c>
      <c r="C29" s="24">
        <f>C19/('Financial Statements'!B55+'Financial Statements'!B59)</f>
        <v>1.1857985048189159</v>
      </c>
      <c r="D29" s="24">
        <f>D19/('Financial Statements'!C55+'Financial Statements'!C59)</f>
        <v>1.012752802836951</v>
      </c>
      <c r="E29" s="24">
        <f>E19/('Financial Statements'!D55+'Financial Statements'!D59)</f>
        <v>0.71988086373790028</v>
      </c>
      <c r="F29" t="s">
        <v>174</v>
      </c>
    </row>
    <row r="30" spans="1:13" x14ac:dyDescent="0.3">
      <c r="A30" s="18">
        <f t="shared" si="2"/>
        <v>3.6000000000000005</v>
      </c>
      <c r="B30" s="1" t="s">
        <v>122</v>
      </c>
      <c r="C30" s="24">
        <f>111443000000/16215963000</f>
        <v>6.8724256462597992</v>
      </c>
      <c r="D30" s="24">
        <f>92953000000/16701272000</f>
        <v>5.56562398361035</v>
      </c>
      <c r="E30" s="24">
        <f>73365000000/17352119000</f>
        <v>4.2280138811864996</v>
      </c>
    </row>
    <row r="31" spans="1:13" x14ac:dyDescent="0.3">
      <c r="A31" s="18"/>
      <c r="B31" s="3" t="s">
        <v>123</v>
      </c>
      <c r="C31" s="29">
        <f>'Financial Statements'!B91--'Financial Statements'!B96</f>
        <v>111443</v>
      </c>
      <c r="D31" s="29">
        <f>'Financial Statements'!C91--'Financial Statements'!C96</f>
        <v>92953</v>
      </c>
      <c r="E31" s="29">
        <f>'Financial Statements'!D91--'Financial Statements'!D96</f>
        <v>73365</v>
      </c>
      <c r="F31" t="s">
        <v>175</v>
      </c>
    </row>
    <row r="32" spans="1:13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6" x14ac:dyDescent="0.3">
      <c r="A36" s="18">
        <f t="shared" si="3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6" x14ac:dyDescent="0.3">
      <c r="A37" s="18">
        <f t="shared" si="3"/>
        <v>4.3999999999999986</v>
      </c>
      <c r="B37" s="1" t="s">
        <v>128</v>
      </c>
      <c r="C37" s="31">
        <f>'Financial Statements'!B22/'Financial Statements'!B48</f>
        <v>0.28292440929256851</v>
      </c>
      <c r="D37" s="31">
        <f>'Financial Statements'!C22/'Financial Statements'!C48</f>
        <v>0.26974205275183616</v>
      </c>
      <c r="E37" s="31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4">
        <f>137.39/'Financial Statements'!B25</f>
        <v>22.486088379705397</v>
      </c>
      <c r="D40" s="24">
        <f>139.88/'Financial Statements'!C25</f>
        <v>24.934046345811048</v>
      </c>
      <c r="E40" s="24">
        <f>113.75/'Financial Statements'!D25</f>
        <v>34.679878048780488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 s="33">
        <f>99803000000/16325819000</f>
        <v>6.1132002014722815</v>
      </c>
      <c r="D41" s="33">
        <f>94680000000/16864919000</f>
        <v>5.6140204408927197</v>
      </c>
      <c r="E41" s="33">
        <f>57411000000/17528214000</f>
        <v>3.2753479618630856</v>
      </c>
      <c r="F41" t="s">
        <v>176</v>
      </c>
    </row>
    <row r="42" spans="1:6" x14ac:dyDescent="0.3">
      <c r="A42" s="18">
        <f t="shared" si="4"/>
        <v>5.2999999999999989</v>
      </c>
      <c r="B42" s="1" t="s">
        <v>132</v>
      </c>
      <c r="C42" s="24">
        <f>137.39/C43</f>
        <v>43.219067729712663</v>
      </c>
      <c r="D42" s="24">
        <f>139.88/D43</f>
        <v>36.427776192740531</v>
      </c>
      <c r="E42" s="24">
        <f>113.75/E43</f>
        <v>29.560828907696781</v>
      </c>
    </row>
    <row r="43" spans="1:6" x14ac:dyDescent="0.3">
      <c r="A43" s="18">
        <f t="shared" si="4"/>
        <v>5.3999999999999986</v>
      </c>
      <c r="B43" s="3" t="s">
        <v>133</v>
      </c>
      <c r="C43" s="33">
        <f>50672000000/15940000000</f>
        <v>3.1789209535759095</v>
      </c>
      <c r="D43" s="33">
        <f>63090000000/16430000000</f>
        <v>3.8399269628727937</v>
      </c>
      <c r="E43" s="33">
        <f>65339000000/16980000000</f>
        <v>3.8479976442873971</v>
      </c>
      <c r="F43" t="s">
        <v>177</v>
      </c>
    </row>
    <row r="44" spans="1:6" x14ac:dyDescent="0.3">
      <c r="A44" s="18">
        <f t="shared" si="4"/>
        <v>5.4999999999999982</v>
      </c>
      <c r="B44" s="1" t="s">
        <v>134</v>
      </c>
      <c r="C44" s="31">
        <f>C45/C41</f>
        <v>0.14722239912627877</v>
      </c>
      <c r="D44" s="31">
        <f t="shared" ref="D44:E44" si="5">D45/D41</f>
        <v>0.15675040895648498</v>
      </c>
      <c r="E44" s="31">
        <f t="shared" si="5"/>
        <v>0.25035507968856141</v>
      </c>
    </row>
    <row r="45" spans="1:6" x14ac:dyDescent="0.3">
      <c r="A45" s="18"/>
      <c r="B45" s="3" t="s">
        <v>135</v>
      </c>
      <c r="C45" s="33">
        <v>0.9</v>
      </c>
      <c r="D45" s="33">
        <v>0.88</v>
      </c>
      <c r="E45" s="33">
        <v>0.82</v>
      </c>
      <c r="F45" t="s">
        <v>180</v>
      </c>
    </row>
    <row r="46" spans="1:6" x14ac:dyDescent="0.3">
      <c r="A46" s="18">
        <f>+A44+0.1</f>
        <v>5.5999999999999979</v>
      </c>
      <c r="B46" s="1" t="s">
        <v>136</v>
      </c>
      <c r="C46" s="35">
        <f>(C45/137.39)</f>
        <v>6.5506951015357751E-3</v>
      </c>
      <c r="D46" s="31">
        <f>D45/139.88</f>
        <v>6.2911066628538754E-3</v>
      </c>
      <c r="E46" s="31">
        <f>E45/113.75</f>
        <v>7.2087912087912083E-3</v>
      </c>
    </row>
    <row r="47" spans="1:6" x14ac:dyDescent="0.3">
      <c r="A47" s="18">
        <f t="shared" ref="A47:A50" si="6">+A45+0.1</f>
        <v>0.1</v>
      </c>
      <c r="B47" s="1" t="s">
        <v>137</v>
      </c>
      <c r="C47" s="31">
        <f>'Financial Statements'!B22/'Financial Statements'!B68</f>
        <v>1.9695887275023682</v>
      </c>
      <c r="D47" s="31">
        <f>'Financial Statements'!C22/'Financial Statements'!C68</f>
        <v>1.5007132667617689</v>
      </c>
      <c r="E47" s="31">
        <f>'Financial Statements'!D22/'Financial Statements'!D68</f>
        <v>0.87866358530127486</v>
      </c>
    </row>
    <row r="48" spans="1:6" x14ac:dyDescent="0.3">
      <c r="A48" s="18">
        <f t="shared" si="6"/>
        <v>5.6999999999999975</v>
      </c>
      <c r="B48" s="1" t="s">
        <v>138</v>
      </c>
      <c r="C48" s="31">
        <f>'List of Ratios'!C21/('Financial Statements'!B48-'Financial Statements'!B56)</f>
        <v>0.60087134570590572</v>
      </c>
      <c r="D48" s="31">
        <f>'List of Ratios'!D21/('Financial Statements'!C48-'Financial Statements'!C56)</f>
        <v>0.48309913489209433</v>
      </c>
      <c r="E48" s="31">
        <f>'List of Ratios'!E21/('Financial Statements'!D48-'Financial Statements'!D56)</f>
        <v>0.30338312829525482</v>
      </c>
      <c r="F48" t="s">
        <v>178</v>
      </c>
    </row>
    <row r="49" spans="1:6" x14ac:dyDescent="0.3">
      <c r="A49" s="18">
        <f t="shared" si="6"/>
        <v>0.2</v>
      </c>
      <c r="B49" s="1" t="s">
        <v>128</v>
      </c>
      <c r="C49" s="31">
        <f>'Financial Statements'!B22/'Financial Statements'!B48</f>
        <v>0.28292440929256851</v>
      </c>
      <c r="D49" s="31">
        <f>'Financial Statements'!C22/'Financial Statements'!C48</f>
        <v>0.26974205275183616</v>
      </c>
      <c r="E49" s="31">
        <f>'Financial Statements'!D22/'Financial Statements'!D48</f>
        <v>0.1772557180259843</v>
      </c>
    </row>
    <row r="50" spans="1:6" x14ac:dyDescent="0.3">
      <c r="A50" s="18">
        <f t="shared" si="6"/>
        <v>5.7999999999999972</v>
      </c>
      <c r="B50" s="1" t="s">
        <v>139</v>
      </c>
      <c r="C50" s="24">
        <f>C51/130541000000</f>
        <v>14.991458622195326</v>
      </c>
      <c r="D50" s="24">
        <f>D51/120233000000</f>
        <v>19.886387264727652</v>
      </c>
      <c r="E50" s="24">
        <f>E51/77344000000</f>
        <v>32.206764584195284</v>
      </c>
    </row>
    <row r="51" spans="1:6" x14ac:dyDescent="0.3">
      <c r="A51" s="18"/>
      <c r="B51" s="3" t="s">
        <v>140</v>
      </c>
      <c r="C51" s="29">
        <v>1957000000000</v>
      </c>
      <c r="D51" s="29">
        <v>2391000000000</v>
      </c>
      <c r="E51" s="2">
        <v>2491000000000</v>
      </c>
      <c r="F51" t="s">
        <v>179</v>
      </c>
    </row>
  </sheetData>
  <mergeCells count="2">
    <mergeCell ref="C2:E2"/>
    <mergeCell ref="I3:L3"/>
  </mergeCells>
  <pageMargins left="0.7" right="0.7" top="0.75" bottom="0.75" header="0.3" footer="0.3"/>
  <pageSetup orientation="portrait" r:id="rId1"/>
  <ignoredErrors>
    <ignoredError sqref="C19:E19 D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2023-10-05T16:14:15Z</dcterms:modified>
</cp:coreProperties>
</file>