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harutherford/Desktop/"/>
    </mc:Choice>
  </mc:AlternateContent>
  <xr:revisionPtr revIDLastSave="0" documentId="13_ncr:1_{69147294-DD26-3449-9D5E-B2348A1FCC25}" xr6:coauthVersionLast="47" xr6:coauthVersionMax="47" xr10:uidLastSave="{00000000-0000-0000-0000-000000000000}"/>
  <bookViews>
    <workbookView xWindow="60" yWindow="500" windowWidth="36480" windowHeight="139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E5" i="3"/>
  <c r="E6" i="3"/>
  <c r="D6" i="3"/>
  <c r="C6" i="3"/>
  <c r="E29" i="3"/>
  <c r="D29" i="3"/>
  <c r="C29" i="3"/>
  <c r="H95" i="3"/>
  <c r="H94" i="3"/>
  <c r="H93" i="3"/>
  <c r="E95" i="3"/>
  <c r="F94" i="3"/>
  <c r="E94" i="3"/>
  <c r="D94" i="3"/>
  <c r="D95" i="3"/>
  <c r="F95" i="3"/>
  <c r="F93" i="3"/>
  <c r="E93" i="3"/>
  <c r="D93" i="3"/>
  <c r="G89" i="3"/>
  <c r="G88" i="3"/>
  <c r="G87" i="3"/>
  <c r="G86" i="3"/>
  <c r="G84" i="3"/>
  <c r="G83" i="3"/>
  <c r="D89" i="3"/>
  <c r="F89" i="3"/>
  <c r="E89" i="3"/>
  <c r="F88" i="3"/>
  <c r="E88" i="3"/>
  <c r="F87" i="3"/>
  <c r="E87" i="3"/>
  <c r="F86" i="3"/>
  <c r="E86" i="3"/>
  <c r="F84" i="3"/>
  <c r="E84" i="3"/>
  <c r="F83" i="3"/>
  <c r="E83" i="3"/>
  <c r="D86" i="3"/>
  <c r="D83" i="3"/>
  <c r="D88" i="3"/>
  <c r="D87" i="3"/>
  <c r="D84" i="3"/>
  <c r="D78" i="3"/>
  <c r="D77" i="3"/>
  <c r="D76" i="3"/>
  <c r="D75" i="3"/>
  <c r="D74" i="3"/>
  <c r="D73" i="3"/>
  <c r="D72" i="3"/>
  <c r="D71" i="3"/>
  <c r="D68" i="3"/>
  <c r="D67" i="3"/>
  <c r="D66" i="3"/>
  <c r="D63" i="3"/>
  <c r="D61" i="3"/>
  <c r="D60" i="3"/>
  <c r="D59" i="3"/>
  <c r="E50" i="3"/>
  <c r="D50" i="3"/>
  <c r="C50" i="3"/>
  <c r="D52" i="3"/>
  <c r="D51" i="3" s="1"/>
  <c r="C51" i="3"/>
  <c r="E51" i="3"/>
  <c r="E52" i="3"/>
  <c r="E48" i="3"/>
  <c r="D48" i="3"/>
  <c r="C48" i="3"/>
  <c r="E46" i="3"/>
  <c r="D46" i="3"/>
  <c r="C46" i="3"/>
  <c r="E44" i="3"/>
  <c r="D44" i="3"/>
  <c r="C44" i="3"/>
  <c r="E45" i="3"/>
  <c r="D45" i="3"/>
  <c r="C45" i="3"/>
  <c r="E42" i="3"/>
  <c r="D42" i="3"/>
  <c r="E43" i="3"/>
  <c r="D43" i="3"/>
  <c r="C43" i="3"/>
  <c r="C42" i="3"/>
  <c r="E41" i="3"/>
  <c r="D41" i="3"/>
  <c r="C41" i="3"/>
  <c r="E34" i="3"/>
  <c r="D34" i="3"/>
  <c r="E30" i="3"/>
  <c r="D30" i="3"/>
  <c r="C30" i="3"/>
  <c r="E31" i="3"/>
  <c r="D31" i="3"/>
  <c r="C31" i="3"/>
  <c r="E19" i="3"/>
  <c r="D19" i="3"/>
  <c r="C19" i="3"/>
  <c r="C8" i="3"/>
  <c r="E8" i="3"/>
  <c r="D8" i="3"/>
  <c r="C9" i="3"/>
  <c r="C34" i="3"/>
  <c r="E27" i="3"/>
  <c r="D27" i="3"/>
  <c r="C27" i="3"/>
  <c r="E26" i="3"/>
  <c r="D26" i="3"/>
  <c r="C26" i="3"/>
  <c r="E25" i="3"/>
  <c r="D25" i="3"/>
  <c r="C25" i="3"/>
  <c r="C5" i="3"/>
  <c r="E14" i="3"/>
  <c r="D14" i="3"/>
  <c r="C14" i="3"/>
  <c r="E17" i="3"/>
  <c r="D17" i="3"/>
  <c r="D15" i="2"/>
  <c r="E54" i="3"/>
  <c r="C15" i="2"/>
  <c r="B15" i="2"/>
  <c r="D54" i="3"/>
  <c r="C54" i="3"/>
  <c r="C36" i="3"/>
  <c r="E36" i="3"/>
  <c r="D36" i="3"/>
  <c r="E35" i="3"/>
  <c r="D35" i="3"/>
  <c r="C35" i="3"/>
  <c r="E28" i="3"/>
  <c r="D28" i="3"/>
  <c r="C28" i="3"/>
  <c r="E12" i="3"/>
  <c r="D12" i="3"/>
  <c r="C10" i="3"/>
  <c r="C12" i="3" s="1"/>
  <c r="E9" i="3"/>
  <c r="D9" i="3"/>
  <c r="E11" i="3"/>
  <c r="D11" i="3"/>
  <c r="C11" i="3"/>
  <c r="E49" i="3"/>
  <c r="D49" i="3"/>
  <c r="C49" i="3"/>
  <c r="E47" i="3"/>
  <c r="D47" i="3"/>
  <c r="C47" i="3"/>
  <c r="E37" i="3"/>
  <c r="C37" i="3"/>
  <c r="D37" i="3"/>
  <c r="E40" i="3"/>
  <c r="D40" i="3"/>
  <c r="C40" i="3"/>
  <c r="E22" i="3"/>
  <c r="D22" i="3"/>
  <c r="C22" i="3"/>
  <c r="E21" i="3"/>
  <c r="D21" i="3"/>
  <c r="C21" i="3"/>
  <c r="E20" i="3"/>
  <c r="D20" i="3"/>
  <c r="C20" i="3"/>
  <c r="E18" i="3"/>
  <c r="D18" i="3"/>
  <c r="C18" i="3"/>
  <c r="E13" i="3"/>
  <c r="D13" i="3"/>
  <c r="C13" i="3"/>
  <c r="E10" i="3"/>
  <c r="D10" i="3"/>
  <c r="C17" i="3"/>
  <c r="E7" i="3"/>
  <c r="D7" i="3"/>
  <c r="C7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 l="1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<sst xmlns="http://schemas.openxmlformats.org/spreadsheetml/2006/main" count="249" uniqueCount="188">
  <si>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</si>
  <si>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</si>
  <si>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</si>
  <si>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</si>
  <si>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</si>
  <si>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</si>
  <si>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</si>
  <si>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</si>
  <si>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</si>
  <si>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</si>
  <si>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</si>
  <si>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</si>
  <si>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</si>
  <si>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</si>
  <si>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</si>
  <si>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</si>
  <si>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</si>
  <si>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</si>
  <si>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</si>
  <si>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</si>
  <si>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</si>
  <si>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</si>
  <si>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</si>
  <si>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</si>
  <si>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</si>
  <si>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</si>
  <si>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</si>
  <si>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</si>
  <si>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</si>
  <si>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</si>
  <si>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</si>
  <si>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</si>
  <si>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</si>
  <si>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</si>
  <si>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</si>
  <si>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</si>
  <si>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</si>
  <si>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</si>
  <si>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</si>
  <si>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</si>
  <si>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</si>
  <si>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</si>
  <si>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</si>
  <si>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</si>
  <si>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</si>
  <si>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</si>
  <si>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</si>
  <si>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</si>
  <si>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</si>
  <si>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</si>
  <si>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</si>
  <si>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</si>
  <si>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</si>
  <si>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</si>
  <si>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</si>
  <si>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</si>
  <si>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</si>
  <si>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</si>
  <si>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</si>
  <si>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</si>
  <si>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</si>
  <si>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</si>
  <si>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</si>
  <si>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</si>
  <si>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</si>
  <si>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</si>
  <si>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</si>
  <si>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</si>
  <si>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</si>
  <si>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</si>
  <si>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</si>
  <si>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</si>
  <si>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</si>
  <si>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</si>
  <si>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</si>
  <si>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</si>
  <si>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</si>
  <si>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</si>
  <si>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</si>
  <si>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</si>
  <si>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</si>
  <si>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</si>
  <si>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</si>
  <si>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</si>
  <si>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</si>
  <si>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</si>
  <si>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</si>
  <si>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</si>
  <si>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</si>
  <si>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</si>
  <si>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</si>
  <si>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</si>
  <si>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</si>
  <si>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</si>
  <si>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</si>
  <si>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</si>
  <si>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</si>
  <si>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</si>
  <si>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</si>
  <si>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</si>
  <si>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</si>
  <si>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</si>
  <si>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</si>
  <si>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</si>
  <si>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</si>
  <si>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</si>
  <si>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</si>
  <si>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</si>
  <si>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</si>
  <si>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</si>
  <si>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</si>
  <si>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</si>
  <si>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</si>
  <si>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</si>
  <si>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</si>
  <si>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</si>
  <si>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</si>
  <si>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</si>
  <si>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</si>
  <si>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</si>
  <si>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</si>
  <si>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</si>
  <si>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</si>
  <si>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</si>
  <si>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</si>
  <si>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</si>
  <si>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</si>
  <si>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</si>
  <si>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</si>
  <si>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</si>
  <si>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</si>
  <si>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</si>
  <si>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</si>
  <si>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</si>
  <si>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</si>
  <si>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</si>
  <si>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</si>
  <si>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</si>
  <si>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</si>
  <si>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</si>
  <si>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</si>
  <si>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</si>
  <si>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</si>
  <si>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</si>
  <si>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</si>
  <si>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</si>
  <si>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</si>
  <si>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</si>
  <si>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</si>
  <si>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cashflow </t>
  </si>
  <si>
    <t xml:space="preserve">sales growth </t>
  </si>
  <si>
    <t>Gross Profit</t>
  </si>
  <si>
    <t xml:space="preserve">Cost of goods sold </t>
  </si>
  <si>
    <t>Current Assets / Current Liabilities</t>
  </si>
  <si>
    <t>Quick Assets / Total Current Liabilities</t>
  </si>
  <si>
    <t>Current Assets / Daily Operational Expenses where Daily Operational Expenses = (Annual Operating Expenses - Noncash Charges) / 365</t>
  </si>
  <si>
    <t>Operating Income + Depreciation &amp; Amortization</t>
  </si>
  <si>
    <t>For debt, include only the term debt under long term liabilities other items in long term liabilities are not actual debt)</t>
  </si>
  <si>
    <t>For debt, include only the term debt. Capital = Long term Debt + Total shareholder equity</t>
  </si>
  <si>
    <t>Net Operating Income/ (Interest + Debt repayment) , debt repayment can be found in cash flow statement</t>
  </si>
  <si>
    <t>Cash from operations + Capex + Net debt issued</t>
  </si>
  <si>
    <t>FCFE/Diluted number of shares</t>
  </si>
  <si>
    <t>remove multiplication by 365, its not days, it’s a multiple</t>
  </si>
  <si>
    <t>Net Income / Diluted number of Shares</t>
  </si>
  <si>
    <t>Share Price / Book Value per Share</t>
  </si>
  <si>
    <t>Total shareholder equity / Diluted number of Shares</t>
  </si>
  <si>
    <t>Dividend Paid (can be found in cash flow)/ Diluted number of Shares</t>
  </si>
  <si>
    <t>DPS/EPS</t>
  </si>
  <si>
    <t>EBIT/Capital employed, where Capital = Long term Debt + Total shareholder equity</t>
  </si>
  <si>
    <t>Dividend Per Share / Share Price</t>
  </si>
  <si>
    <t>EV / EBITDA</t>
  </si>
  <si>
    <t>Market Cap + Total Debt - (Cash + Cash Equivalents)</t>
  </si>
  <si>
    <t xml:space="preserve"> Please calcualte the following</t>
  </si>
  <si>
    <t>Growth Rates (%)</t>
  </si>
  <si>
    <t>Sales</t>
  </si>
  <si>
    <t>Gross Profits</t>
  </si>
  <si>
    <t>Operating Expenses</t>
  </si>
  <si>
    <t>Balance Sheet Main Line Items</t>
  </si>
  <si>
    <t>Margins/ as a percentage of net sales (%)</t>
  </si>
  <si>
    <t>COGS (Cost of goods sold)</t>
  </si>
  <si>
    <t>Other Calculations (%)</t>
  </si>
  <si>
    <t>Capex</t>
  </si>
  <si>
    <t>remove multiplication by 100 and use the % formatting instead</t>
  </si>
  <si>
    <t>Feedback</t>
  </si>
  <si>
    <t>done</t>
  </si>
  <si>
    <t xml:space="preserve">done </t>
  </si>
  <si>
    <t>average</t>
  </si>
  <si>
    <t xml:space="preserve">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</si>
</sst>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70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2" fontId="0" fillId="0" borderId="0" xfId="3" applyNumberFormat="1" applyFont="1"/>
    <xf numFmtId="9" fontId="0" fillId="0" borderId="0" xfId="3" applyFont="1"/>
    <xf numFmtId="43" fontId="0" fillId="0" borderId="0" xfId="1" applyFont="1"/>
    <xf numFmtId="0" fontId="0" fillId="0" borderId="0" xfId="0" applyAlignment="1">
      <alignment horizontal="lef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2" fillId="0" borderId="0" xfId="1" applyFont="1" applyAlignment="1">
      <alignment horizontal="center"/>
    </xf>
    <xf numFmtId="0" fontId="2" fillId="5" borderId="0" xfId="0" applyFont="1" applyFill="1" applyAlignment="1">
      <alignment horizontal="center"/>
    </xf>
    <xf numFmtId="170" fontId="0" fillId="0" borderId="0" xfId="0" applyNumberFormat="1"/>
    <xf numFmtId="164" fontId="0" fillId="0" borderId="0" xfId="0" applyNumberFormat="1"/>
    <xf numFmtId="43" fontId="0" fillId="0" borderId="0" xfId="0" applyNumberFormat="1"/>
    <xf numFmtId="10" fontId="0" fillId="0" borderId="0" xfId="3" applyNumberFormat="1" applyFont="1"/>
    <xf numFmtId="10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13" workbookViewId="0">
      <selection activeCell="A8" sqref="A8"/>
    </sheetView>
  </sheetViews>
  <sheetFormatPr baseColWidth="10" defaultColWidth="8.83203125" defaultRowHeight="15" x14ac:dyDescent="0.2"/>
  <cols>
    <col min="1" max="1" width="104.5" customWidth="1"/>
  </cols>
  <sheetData>
    <row r="1" spans="1:4" ht="24" x14ac:dyDescent="0.3">
      <c r="A1" s="5" t="s">
        <v>87</v>
      </c>
    </row>
    <row r="3" spans="1:4" x14ac:dyDescent="0.2">
      <c r="A3" s="7" t="s">
        <v>141</v>
      </c>
    </row>
    <row r="4" spans="1:4" x14ac:dyDescent="0.2">
      <c r="A4" s="16" t="s">
        <v>88</v>
      </c>
    </row>
    <row r="5" spans="1:4" x14ac:dyDescent="0.2">
      <c r="A5" s="7" t="s">
        <v>97</v>
      </c>
    </row>
    <row r="6" spans="1:4" x14ac:dyDescent="0.2">
      <c r="A6" s="1" t="s">
        <v>147</v>
      </c>
    </row>
    <row r="7" spans="1:4" x14ac:dyDescent="0.2">
      <c r="A7" s="1"/>
    </row>
    <row r="8" spans="1:4" x14ac:dyDescent="0.2">
      <c r="A8" s="17" t="s">
        <v>148</v>
      </c>
    </row>
    <row r="9" spans="1:4" x14ac:dyDescent="0.2">
      <c r="A9" s="1" t="s">
        <v>145</v>
      </c>
    </row>
    <row r="10" spans="1:4" x14ac:dyDescent="0.2">
      <c r="A10" s="1" t="s">
        <v>89</v>
      </c>
    </row>
    <row r="11" spans="1:4" x14ac:dyDescent="0.2">
      <c r="A11" s="1" t="s">
        <v>90</v>
      </c>
    </row>
    <row r="12" spans="1:4" x14ac:dyDescent="0.2">
      <c r="A12" s="1" t="s">
        <v>91</v>
      </c>
    </row>
    <row r="13" spans="1:4" x14ac:dyDescent="0.2">
      <c r="A13" s="1"/>
    </row>
    <row r="14" spans="1:4" x14ac:dyDescent="0.2">
      <c r="A14" s="17" t="s">
        <v>92</v>
      </c>
    </row>
    <row r="15" spans="1:4" x14ac:dyDescent="0.2">
      <c r="A15" s="1" t="s">
        <v>89</v>
      </c>
      <c r="B15">
        <f>('Financial Statements'!B13/'Financial Statements'!B8)*100</f>
        <v>43.309630561360088</v>
      </c>
      <c r="C15">
        <f>('Financial Statements'!C13/'Financial Statements'!C8)*100</f>
        <v>41.779359625167778</v>
      </c>
      <c r="D15">
        <f>('Financial Statements'!D13/'Financial Statements'!D8)*100</f>
        <v>38.233247727810863</v>
      </c>
    </row>
    <row r="16" spans="1:4" x14ac:dyDescent="0.2">
      <c r="A16" s="1" t="s">
        <v>152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3" workbookViewId="0">
      <selection activeCell="A65" sqref="A6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30" t="s">
        <v>1</v>
      </c>
      <c r="B2" s="30"/>
      <c r="C2" s="30"/>
      <c r="D2" s="30"/>
    </row>
    <row r="3" spans="1:10" x14ac:dyDescent="0.2">
      <c r="B3" s="29" t="s">
        <v>23</v>
      </c>
      <c r="C3" s="29"/>
      <c r="D3" s="29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30" t="s">
        <v>24</v>
      </c>
      <c r="B31" s="30"/>
      <c r="C31" s="30"/>
      <c r="D31" s="30"/>
    </row>
    <row r="32" spans="1:4" x14ac:dyDescent="0.2">
      <c r="B32" s="29" t="s">
        <v>142</v>
      </c>
      <c r="C32" s="29"/>
      <c r="D32" s="29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30" t="s">
        <v>55</v>
      </c>
      <c r="B71" s="30"/>
      <c r="C71" s="30"/>
      <c r="D71" s="30"/>
    </row>
    <row r="72" spans="1:4" x14ac:dyDescent="0.2">
      <c r="B72" s="29" t="s">
        <v>23</v>
      </c>
      <c r="C72" s="29"/>
      <c r="D72" s="29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6"/>
  <sheetViews>
    <sheetView tabSelected="1" workbookViewId="0">
      <selection activeCell="C51" sqref="C51:E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7.83203125" bestFit="1" customWidth="1"/>
    <col min="6" max="6" width="24.5" customWidth="1"/>
    <col min="10" max="10" width="11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28" t="s">
        <v>183</v>
      </c>
      <c r="G1" s="19"/>
      <c r="H1" s="19"/>
      <c r="I1" s="19"/>
      <c r="J1" s="19"/>
    </row>
    <row r="2" spans="1:10" x14ac:dyDescent="0.2">
      <c r="C2" s="29" t="s">
        <v>23</v>
      </c>
      <c r="D2" s="29"/>
      <c r="E2" s="29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  <c r="F5" t="s">
        <v>153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  <c r="F6" t="s">
        <v>154</v>
      </c>
    </row>
    <row r="7" spans="1:10" x14ac:dyDescent="0.2">
      <c r="A7" s="18">
        <f t="shared" si="0"/>
        <v>1.3000000000000003</v>
      </c>
      <c r="B7" s="1" t="s">
        <v>102</v>
      </c>
      <c r="C7" s="23">
        <f>'Financial Statements'!B36/'Financial Statements'!B56</f>
        <v>0.15356340351469652</v>
      </c>
      <c r="D7" s="23">
        <f>'Financial Statements'!C36/'Financial Statements'!C56</f>
        <v>0.27844853005634318</v>
      </c>
      <c r="E7" s="23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3">
        <f>'Financial Statements'!B42/('Financial Statements'!B17-'Financial Statements'!B79/365)</f>
        <v>2.6387238297685816</v>
      </c>
      <c r="D8" s="23">
        <f>'Financial Statements'!C42/('Financial Statements'!C17-'Financial Statements'!C79/365)</f>
        <v>3.0745106456853804</v>
      </c>
      <c r="E8" s="23">
        <f>'Financial Statements'!D42/('Financial Statements'!D17-'Financial Statements'!D79/365)</f>
        <v>3.7195010141274438</v>
      </c>
      <c r="F8" t="s">
        <v>155</v>
      </c>
    </row>
    <row r="9" spans="1:10" x14ac:dyDescent="0.2">
      <c r="A9" s="18">
        <f t="shared" si="0"/>
        <v>1.5000000000000004</v>
      </c>
      <c r="B9" s="1" t="s">
        <v>104</v>
      </c>
      <c r="C9" s="23">
        <f>('Financial Statements'!B39/'Financial Statements'!B12)*365</f>
        <v>8.0756980666171607</v>
      </c>
      <c r="D9" s="23">
        <f>('Financial Statements'!C39/'Financial Statements'!C12)*365</f>
        <v>11.27659274770989</v>
      </c>
      <c r="E9" s="23">
        <f>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3">
        <f>('Financial Statements'!B51/'Financial Statements'!B12)*365</f>
        <v>104.68527730310539</v>
      </c>
      <c r="D10" s="23">
        <f>'Financial Statements'!C51*(365/'Financial Statements'!C12)</f>
        <v>93.851071222315596</v>
      </c>
      <c r="E10" s="23">
        <f>'Financial Statements'!D51*(365/'Financial Statements'!D12)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 s="23">
        <f>('Financial Statements'!B38/'Financial Statements'!B8)*365</f>
        <v>26.087825363656648</v>
      </c>
      <c r="D11" s="23">
        <f>('Financial Statements'!C38/'Financial Statements'!C8)*365</f>
        <v>26.219311841713207</v>
      </c>
      <c r="E11" s="23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3">
        <f>C11+C9-C10</f>
        <v>-70.521753872831582</v>
      </c>
      <c r="D12" s="23">
        <f>D11+D9-D10</f>
        <v>-56.355166632892498</v>
      </c>
      <c r="E12" s="23">
        <f>E11+E9-E10</f>
        <v>-60.872869206641553</v>
      </c>
    </row>
    <row r="13" spans="1:10" x14ac:dyDescent="0.2">
      <c r="A13" s="18">
        <f t="shared" si="0"/>
        <v>1.9000000000000008</v>
      </c>
      <c r="B13" s="1" t="s">
        <v>108</v>
      </c>
      <c r="C13" s="23">
        <f>'Financial Statements'!B8/('Financial Statements'!B38+'Financial Statements'!B39-'Financial Statements'!B51)</f>
        <v>-12.726416007745684</v>
      </c>
      <c r="D13" s="23">
        <f>'Financial Statements'!C8/('Financial Statements'!C38+'Financial Statements'!C39-'Financial Statements'!C51)</f>
        <v>-16.700159780871946</v>
      </c>
      <c r="E13" s="23">
        <f>'Financial Statements'!D8/('Financial Statements'!D38+'Financial Statements'!D39-'Financial Statements'!D51)</f>
        <v>-12.413068053357449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9" x14ac:dyDescent="0.2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</row>
    <row r="18" spans="1:9" x14ac:dyDescent="0.2">
      <c r="A18" s="18">
        <f>+A17+0.1</f>
        <v>2.2000000000000002</v>
      </c>
      <c r="B18" s="1" t="s">
        <v>111</v>
      </c>
      <c r="C18" s="25">
        <f>'Financial Statements'!B20/'Financial Statements'!B8</f>
        <v>0.30204043334482966</v>
      </c>
      <c r="D18" s="25">
        <f>'Financial Statements'!C20/'Financial Statements'!C8</f>
        <v>0.29852904594373691</v>
      </c>
      <c r="E18" s="25">
        <f>'Financial Statements'!D20/'Financial Statements'!D8</f>
        <v>0.24439830246070343</v>
      </c>
    </row>
    <row r="19" spans="1:9" x14ac:dyDescent="0.2">
      <c r="A19" s="18"/>
      <c r="B19" s="3" t="s">
        <v>112</v>
      </c>
      <c r="C19" s="12">
        <f>'Financial Statements'!B18+'Financial Statements'!B79</f>
        <v>130541</v>
      </c>
      <c r="D19" s="12">
        <f>'Financial Statements'!C18+'Financial Statements'!C79</f>
        <v>120233</v>
      </c>
      <c r="E19" s="12">
        <f>'Financial Statements'!D18+'Financial Statements'!D79</f>
        <v>77344</v>
      </c>
      <c r="F19" t="s">
        <v>156</v>
      </c>
    </row>
    <row r="20" spans="1:9" x14ac:dyDescent="0.2">
      <c r="A20" s="18">
        <f>+A18+0.1</f>
        <v>2.3000000000000003</v>
      </c>
      <c r="B20" s="1" t="s">
        <v>113</v>
      </c>
      <c r="C20" s="25">
        <f>'Financial Statements'!B18/'Financial Statements'!B8</f>
        <v>0.30288744395528594</v>
      </c>
      <c r="D20" s="25">
        <f>'Financial Statements'!C18/'Financial Statements'!C8</f>
        <v>0.29782377527561593</v>
      </c>
      <c r="E20" s="25">
        <f>'Financial Statements'!D18/'Financial Statements'!D8</f>
        <v>0.24147314354406862</v>
      </c>
    </row>
    <row r="21" spans="1:9" x14ac:dyDescent="0.2">
      <c r="A21" s="18"/>
      <c r="B21" s="3" t="s">
        <v>114</v>
      </c>
      <c r="C21" s="12">
        <f>'Financial Statements'!B18</f>
        <v>119437</v>
      </c>
      <c r="D21" s="12">
        <f>'Financial Statements'!C18</f>
        <v>108949</v>
      </c>
      <c r="E21" s="12">
        <f>'Financial Statements'!D18</f>
        <v>66288</v>
      </c>
    </row>
    <row r="22" spans="1:9" x14ac:dyDescent="0.2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I22" t="s">
        <v>149</v>
      </c>
    </row>
    <row r="23" spans="1:9" x14ac:dyDescent="0.2">
      <c r="A23" s="18"/>
    </row>
    <row r="24" spans="1:9" x14ac:dyDescent="0.2">
      <c r="A24" s="18">
        <f>+A16+1</f>
        <v>3</v>
      </c>
      <c r="B24" s="7" t="s">
        <v>116</v>
      </c>
    </row>
    <row r="25" spans="1:9" x14ac:dyDescent="0.2">
      <c r="A25" s="18">
        <f>+A24+0.1</f>
        <v>3.1</v>
      </c>
      <c r="B25" s="1" t="s">
        <v>117</v>
      </c>
      <c r="C25" s="23">
        <f>'Financial Statements'!B68/'Financial Statements'!B59</f>
        <v>0.51205044513384335</v>
      </c>
      <c r="D25" s="23">
        <f>'Financial Statements'!C68/'Financial Statements'!C59</f>
        <v>0.57824500944036072</v>
      </c>
      <c r="E25" s="23">
        <f>'Financial Statements'!D68/'Financial Statements'!D59</f>
        <v>0.66221735737379261</v>
      </c>
      <c r="F25" t="s">
        <v>157</v>
      </c>
      <c r="G25" t="s">
        <v>184</v>
      </c>
    </row>
    <row r="26" spans="1:9" x14ac:dyDescent="0.2">
      <c r="A26" s="18">
        <f t="shared" ref="A26:A30" si="1">+A25+0.1</f>
        <v>3.2</v>
      </c>
      <c r="B26" s="1" t="s">
        <v>118</v>
      </c>
      <c r="C26" s="23">
        <f>'Financial Statements'!B59/'Financial Statements'!B48</f>
        <v>0.28053181386514719</v>
      </c>
      <c r="D26" s="23">
        <f>'Financial Statements'!C59/'Financial Statements'!C48</f>
        <v>0.31084153366647482</v>
      </c>
      <c r="E26" s="23">
        <f>'Financial Statements'!D59/'Financial Statements'!D48</f>
        <v>0.30463308304105124</v>
      </c>
      <c r="F26" t="s">
        <v>157</v>
      </c>
      <c r="G26" t="s">
        <v>184</v>
      </c>
    </row>
    <row r="27" spans="1:9" x14ac:dyDescent="0.2">
      <c r="A27" s="18">
        <f t="shared" si="1"/>
        <v>3.3000000000000003</v>
      </c>
      <c r="B27" s="1" t="s">
        <v>119</v>
      </c>
      <c r="C27" s="23">
        <f>'Financial Statements'!B59/('Financial Statements'!B59+'Financial Statements'!B68)</f>
        <v>0.66135359651409131</v>
      </c>
      <c r="D27" s="23">
        <f>'Financial Statements'!C59/('Financial Statements'!C59+'Financial Statements'!C68)</f>
        <v>0.63361518269878514</v>
      </c>
      <c r="E27" s="23">
        <f>'Financial Statements'!D59/('Financial Statements'!D59+'Financial Statements'!D68)</f>
        <v>0.60160603880345842</v>
      </c>
      <c r="F27" t="s">
        <v>158</v>
      </c>
      <c r="G27" t="s">
        <v>185</v>
      </c>
    </row>
    <row r="28" spans="1:9" x14ac:dyDescent="0.2">
      <c r="A28" s="18">
        <f t="shared" si="1"/>
        <v>3.4000000000000004</v>
      </c>
      <c r="B28" s="1" t="s">
        <v>120</v>
      </c>
      <c r="C28" s="23">
        <f>'Financial Statements'!B18/'Financial Statements'!B114</f>
        <v>41.68830715532286</v>
      </c>
      <c r="D28" s="23">
        <f>'Financial Statements'!C18/'Financial Statements'!C114</f>
        <v>40.546706363974693</v>
      </c>
      <c r="E28" s="23">
        <f>'Financial Statements'!D18/'Financial Statements'!D114</f>
        <v>22.081279147235175</v>
      </c>
    </row>
    <row r="29" spans="1:9" x14ac:dyDescent="0.2">
      <c r="A29" s="18">
        <f t="shared" si="1"/>
        <v>3.5000000000000004</v>
      </c>
      <c r="B29" s="1" t="s">
        <v>121</v>
      </c>
      <c r="C29" s="23">
        <f>('Financial Statements'!B18)/('Financial Statements'!B114+9543)</f>
        <v>9.6258059316569948</v>
      </c>
      <c r="D29" s="23">
        <f>'Financial Statements'!C20/('Financial Statements'!C114+8750)</f>
        <v>9.5485704293083842</v>
      </c>
      <c r="E29" s="23">
        <f>'Financial Statements'!D20/('Financial Statements'!D114+12629)</f>
        <v>4.2921758044910758</v>
      </c>
      <c r="F29" t="s">
        <v>159</v>
      </c>
      <c r="G29" t="s">
        <v>184</v>
      </c>
    </row>
    <row r="30" spans="1:9" x14ac:dyDescent="0.2">
      <c r="A30" s="18">
        <f t="shared" si="1"/>
        <v>3.6000000000000005</v>
      </c>
      <c r="B30" s="1" t="s">
        <v>122</v>
      </c>
      <c r="C30" s="33">
        <f>C31/'Financial Statements'!B28</f>
        <v>1.5942232362125294E-3</v>
      </c>
      <c r="D30" s="33">
        <f>D31/'Financial Statements'!C28</f>
        <v>6.0065512321760925E-4</v>
      </c>
      <c r="E30" s="33">
        <f>E31/'Financial Statements'!D28</f>
        <v>2.3904317918528381E-4</v>
      </c>
      <c r="F30" t="s">
        <v>161</v>
      </c>
      <c r="G30" t="s">
        <v>184</v>
      </c>
    </row>
    <row r="31" spans="1:9" x14ac:dyDescent="0.2">
      <c r="A31" s="18"/>
      <c r="B31" s="3" t="s">
        <v>123</v>
      </c>
      <c r="C31">
        <f>'Financial Statements'!B91+'Financial Statements'!B96+'Financial Statements'!B97+('Financial Statements'!B110-'Financial Statements'!B55-'Financial Statements'!B59)</f>
        <v>26027</v>
      </c>
      <c r="D31">
        <f>'Financial Statements'!C91+'Financial Statements'!C96+'Financial Statements'!C97+('Financial Statements'!C110-'Financial Statements'!C55-'Financial Statements'!C59)</f>
        <v>10130</v>
      </c>
      <c r="E31">
        <f>'Financial Statements'!D91+'Financial Statements'!D96+'Financial Statements'!D97+('Financial Statements'!D110-'Financial Statements'!D55-'Financial Statements'!D59)</f>
        <v>4190</v>
      </c>
      <c r="F31" t="s">
        <v>160</v>
      </c>
      <c r="G31" t="s">
        <v>184</v>
      </c>
    </row>
    <row r="32" spans="1:9" x14ac:dyDescent="0.2">
      <c r="A32" s="18"/>
    </row>
    <row r="33" spans="1:7" x14ac:dyDescent="0.2">
      <c r="A33" s="18">
        <f>+A24+1</f>
        <v>4</v>
      </c>
      <c r="B33" s="17" t="s">
        <v>124</v>
      </c>
    </row>
    <row r="34" spans="1:7" x14ac:dyDescent="0.2">
      <c r="A34" s="18">
        <f>+A33+0.1</f>
        <v>4.0999999999999996</v>
      </c>
      <c r="B34" s="1" t="s">
        <v>125</v>
      </c>
      <c r="C34" s="23">
        <f>'Financial Statements'!B8/('Financial Statements'!B48)*100</f>
        <v>111.78523337727317</v>
      </c>
      <c r="D34" s="23">
        <f>'Financial Statements'!C8/('Financial Statements'!C48)*100</f>
        <v>104.22077367080529</v>
      </c>
      <c r="E34" s="23">
        <f>('Financial Statements'!D8/'Financial Statements'!D48)*100</f>
        <v>84.756150274168846</v>
      </c>
      <c r="F34" t="s">
        <v>162</v>
      </c>
      <c r="G34" t="s">
        <v>184</v>
      </c>
    </row>
    <row r="35" spans="1:7" x14ac:dyDescent="0.2">
      <c r="A35" s="18">
        <f t="shared" ref="A35:A37" si="2">+A34+0.1</f>
        <v>4.1999999999999993</v>
      </c>
      <c r="B35" s="1" t="s">
        <v>126</v>
      </c>
      <c r="C35" s="23">
        <f>'Financial Statements'!B8/'Financial Statements'!B47</f>
        <v>1.8142535081665516</v>
      </c>
      <c r="D35" s="23">
        <f>'Financial Statements'!C8/'Financial Statements'!C47</f>
        <v>1.6922966608994938</v>
      </c>
      <c r="E35" s="23">
        <f>'Financial Statements'!D8/'Financial Statements'!D47</f>
        <v>1.5236020535590398</v>
      </c>
    </row>
    <row r="36" spans="1:7" x14ac:dyDescent="0.2">
      <c r="A36" s="18">
        <f t="shared" si="2"/>
        <v>4.2999999999999989</v>
      </c>
      <c r="B36" s="1" t="s">
        <v>127</v>
      </c>
      <c r="C36" s="23">
        <f>'Financial Statements'!B12/'Financial Statements'!B39</f>
        <v>45.197331176708452</v>
      </c>
      <c r="D36" s="23">
        <f>'Financial Statements'!C12/'Financial Statements'!C39</f>
        <v>32.367933130699086</v>
      </c>
      <c r="E36" s="23">
        <f>'Financial Statements'!D12/'Financial Statements'!D39</f>
        <v>41.753016498399411</v>
      </c>
    </row>
    <row r="37" spans="1:7" x14ac:dyDescent="0.2">
      <c r="A37" s="18">
        <f t="shared" si="2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7" x14ac:dyDescent="0.2">
      <c r="A38" s="18"/>
    </row>
    <row r="39" spans="1:7" x14ac:dyDescent="0.2">
      <c r="A39" s="18">
        <f>+A33+1</f>
        <v>5</v>
      </c>
      <c r="B39" s="17" t="s">
        <v>129</v>
      </c>
    </row>
    <row r="40" spans="1:7" x14ac:dyDescent="0.2">
      <c r="A40" s="18">
        <f>+A39+0.1</f>
        <v>5.0999999999999996</v>
      </c>
      <c r="B40" s="1" t="s">
        <v>130</v>
      </c>
      <c r="C40" s="23">
        <f>129/'Financial Statements'!B24</f>
        <v>20.975609756097558</v>
      </c>
      <c r="D40" s="23">
        <f>131/'Financial Statements'!C24</f>
        <v>23.104056437389772</v>
      </c>
      <c r="E40" s="23">
        <f>74/'Financial Statements'!D24</f>
        <v>22.356495468277945</v>
      </c>
    </row>
    <row r="41" spans="1:7" x14ac:dyDescent="0.2">
      <c r="A41" s="18">
        <f t="shared" ref="A41:A44" si="3">+A40+0.1</f>
        <v>5.1999999999999993</v>
      </c>
      <c r="B41" s="3" t="s">
        <v>131</v>
      </c>
      <c r="C41" s="23">
        <f>'Financial Statements'!B22/'Financial Statements'!B28</f>
        <v>6.1132002014722816E-3</v>
      </c>
      <c r="D41" s="23">
        <f>'Financial Statements'!C22/'Financial Statements'!C28</f>
        <v>5.614020440892719E-3</v>
      </c>
      <c r="E41" s="23">
        <f>'Financial Statements'!D22/'Financial Statements'!D28</f>
        <v>3.2753479618630853E-3</v>
      </c>
      <c r="F41" t="s">
        <v>163</v>
      </c>
      <c r="G41" t="s">
        <v>184</v>
      </c>
    </row>
    <row r="42" spans="1:7" x14ac:dyDescent="0.2">
      <c r="A42" s="18">
        <f t="shared" si="3"/>
        <v>5.2999999999999989</v>
      </c>
      <c r="B42" s="1" t="s">
        <v>132</v>
      </c>
      <c r="C42" s="23">
        <f>('List of Ratios'!C40*'Financial Statements'!B25)/C43</f>
        <v>41.291697400305743</v>
      </c>
      <c r="D42" s="23">
        <f>(D40*'Financial Statements'!C25)/'List of Ratios'!D43</f>
        <v>34.647733500978283</v>
      </c>
      <c r="E42" s="23">
        <f>('List of Ratios'!E40*'Financial Statements'!D25)/'List of Ratios'!E43</f>
        <v>19.671738975103072</v>
      </c>
      <c r="F42" t="s">
        <v>164</v>
      </c>
      <c r="G42" t="s">
        <v>184</v>
      </c>
    </row>
    <row r="43" spans="1:7" x14ac:dyDescent="0.2">
      <c r="A43" s="18">
        <f t="shared" si="3"/>
        <v>5.3999999999999986</v>
      </c>
      <c r="B43" s="3" t="s">
        <v>133</v>
      </c>
      <c r="C43" s="23">
        <f>50672000/'Financial Statements'!B28</f>
        <v>3.1037952827971447</v>
      </c>
      <c r="D43" s="23">
        <f>63090000/'Financial Statements'!C28</f>
        <v>3.740901453484597</v>
      </c>
      <c r="E43" s="23">
        <f>65339000/'Financial Statements'!D28</f>
        <v>3.7276473233382479</v>
      </c>
      <c r="F43" t="s">
        <v>165</v>
      </c>
      <c r="G43" t="s">
        <v>185</v>
      </c>
    </row>
    <row r="44" spans="1:7" x14ac:dyDescent="0.2">
      <c r="A44" s="18">
        <f t="shared" si="3"/>
        <v>5.4999999999999982</v>
      </c>
      <c r="B44" s="1" t="s">
        <v>134</v>
      </c>
      <c r="C44" s="23">
        <f>C45/C41</f>
        <v>148.70294480125847</v>
      </c>
      <c r="D44" s="23">
        <f>D45/D41</f>
        <v>152.79890156316014</v>
      </c>
      <c r="E44" s="23">
        <f>E45/E41</f>
        <v>245.26658654264864</v>
      </c>
      <c r="F44" t="s">
        <v>167</v>
      </c>
      <c r="G44" t="s">
        <v>184</v>
      </c>
    </row>
    <row r="45" spans="1:7" x14ac:dyDescent="0.2">
      <c r="A45" s="18"/>
      <c r="B45" s="3" t="s">
        <v>135</v>
      </c>
      <c r="C45" s="23">
        <f>14841000/'Financial Statements'!B28</f>
        <v>0.90905087211857483</v>
      </c>
      <c r="D45" s="23">
        <f>14467000/'Financial Statements'!C28</f>
        <v>0.85781615672153544</v>
      </c>
      <c r="E45" s="23">
        <f>14081000/'Financial Statements'!D28</f>
        <v>0.80333341434558025</v>
      </c>
      <c r="F45" t="s">
        <v>166</v>
      </c>
      <c r="G45" t="s">
        <v>185</v>
      </c>
    </row>
    <row r="46" spans="1:7" x14ac:dyDescent="0.2">
      <c r="A46" s="18">
        <f>+A44+0.1</f>
        <v>5.5999999999999979</v>
      </c>
      <c r="B46" s="1" t="s">
        <v>136</v>
      </c>
      <c r="C46" s="23">
        <f>C45/('List of Ratios'!C40*'List of Ratios'!C41)</f>
        <v>7.0893264381995325</v>
      </c>
      <c r="D46" s="23">
        <f>D45/(D40*D41)</f>
        <v>6.6135097088787633</v>
      </c>
      <c r="E46" s="23">
        <f>E45/(E40*E41)</f>
        <v>10.970708127786041</v>
      </c>
      <c r="F46" t="s">
        <v>169</v>
      </c>
      <c r="G46" t="s">
        <v>184</v>
      </c>
    </row>
    <row r="47" spans="1:7" x14ac:dyDescent="0.2">
      <c r="A47" s="18">
        <f t="shared" ref="A47:A50" si="4"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</row>
    <row r="48" spans="1:7" x14ac:dyDescent="0.2">
      <c r="A48" s="18">
        <f t="shared" si="4"/>
        <v>5.6999999999999975</v>
      </c>
      <c r="B48" s="1" t="s">
        <v>138</v>
      </c>
      <c r="C48" s="23">
        <f>'Financial Statements'!B20/('Financial Statements'!B68+'Financial Statements'!B59)</f>
        <v>0.79597810614110709</v>
      </c>
      <c r="D48" s="23">
        <f>'Financial Statements'!C20/('Financial Statements'!C68+'Financial Statements'!C59)</f>
        <v>0.63420172361727334</v>
      </c>
      <c r="E48" s="23">
        <f>'Financial Statements'!D20/('Financial Statements'!D68+'Financial Statements'!D59)</f>
        <v>0.40907649720132189</v>
      </c>
      <c r="F48" t="s">
        <v>168</v>
      </c>
      <c r="G48" t="s">
        <v>184</v>
      </c>
    </row>
    <row r="49" spans="1:7" x14ac:dyDescent="0.2">
      <c r="A49" s="18">
        <f t="shared" si="4"/>
        <v>0.2</v>
      </c>
      <c r="B49" s="1" t="s">
        <v>128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7" x14ac:dyDescent="0.2">
      <c r="A50" s="18">
        <f t="shared" si="4"/>
        <v>5.7999999999999972</v>
      </c>
      <c r="B50" s="1" t="s">
        <v>139</v>
      </c>
      <c r="C50" s="35">
        <f>C51/C19</f>
        <v>5.3227172214093654</v>
      </c>
      <c r="D50" s="35">
        <f>D51/D19</f>
        <v>5.8182302827923147</v>
      </c>
      <c r="E50" s="35">
        <f>E51/E19</f>
        <v>5.3764517638165463</v>
      </c>
      <c r="F50" t="s">
        <v>170</v>
      </c>
      <c r="G50" t="s">
        <v>184</v>
      </c>
    </row>
    <row r="51" spans="1:7" x14ac:dyDescent="0.2">
      <c r="A51" s="18"/>
      <c r="B51" s="3" t="s">
        <v>140</v>
      </c>
      <c r="C51" s="23">
        <f>C53+'Financial Statements'!B55+'Financial Statements'!B59-'Financial Statements'!B110</f>
        <v>694832.82880000002</v>
      </c>
      <c r="D51" s="23">
        <f>D52+'Financial Statements'!C59+'Financial Statements'!C55-'Financial Statements'!C110</f>
        <v>699543.28159096837</v>
      </c>
      <c r="E51" s="23">
        <f>E52+'Financial Statements'!D59+'Financial Statements'!D55-'Financial Statements'!D110</f>
        <v>415836.28522062697</v>
      </c>
      <c r="F51" t="s">
        <v>171</v>
      </c>
      <c r="G51" t="s">
        <v>185</v>
      </c>
    </row>
    <row r="52" spans="1:7" x14ac:dyDescent="0.2">
      <c r="B52" s="1"/>
      <c r="D52">
        <f>(D40*D41)*4754986</f>
        <v>616753.28159096837</v>
      </c>
      <c r="E52">
        <f>(E40*E41)*4754986</f>
        <v>348185.28522062697</v>
      </c>
    </row>
    <row r="53" spans="1:7" x14ac:dyDescent="0.2">
      <c r="C53">
        <v>609722.82880000002</v>
      </c>
    </row>
    <row r="54" spans="1:7" x14ac:dyDescent="0.2">
      <c r="B54" t="s">
        <v>150</v>
      </c>
      <c r="C54" s="24">
        <f>('Financial Statements'!B8-'Financial Statements'!C8)/'Financial Statements'!C8*100</f>
        <v>7.7937876041846055</v>
      </c>
      <c r="D54" s="24">
        <f>('Financial Statements'!C8-'Financial Statements'!D8)/'Financial Statements'!D8*100</f>
        <v>33.25938473307469</v>
      </c>
      <c r="E54" s="24">
        <f>('Financial Statements'!D13/'Financial Statements'!D8)*100</f>
        <v>38.233247727810863</v>
      </c>
      <c r="F54" t="s">
        <v>182</v>
      </c>
    </row>
    <row r="55" spans="1:7" x14ac:dyDescent="0.2">
      <c r="B55" t="s">
        <v>151</v>
      </c>
    </row>
    <row r="56" spans="1:7" x14ac:dyDescent="0.2">
      <c r="C56" s="32" t="s">
        <v>172</v>
      </c>
      <c r="D56" s="32"/>
      <c r="E56" s="32"/>
      <c r="F56" s="32"/>
    </row>
    <row r="57" spans="1:7" x14ac:dyDescent="0.2">
      <c r="B57" s="29" t="s">
        <v>173</v>
      </c>
      <c r="C57" s="29"/>
      <c r="D57" s="29"/>
      <c r="E57" s="29"/>
      <c r="F57" s="29"/>
      <c r="G57" s="29"/>
    </row>
    <row r="58" spans="1:7" x14ac:dyDescent="0.2">
      <c r="B58" s="18">
        <v>1</v>
      </c>
      <c r="C58" s="7" t="s">
        <v>174</v>
      </c>
      <c r="D58" s="34"/>
    </row>
    <row r="59" spans="1:7" x14ac:dyDescent="0.2">
      <c r="B59">
        <v>1.1000000000000001</v>
      </c>
      <c r="C59" s="27" t="s">
        <v>4</v>
      </c>
      <c r="D59" s="36">
        <f>('Financial Statements'!B6-'Financial Statements'!D6)/'Financial Statements'!D6</f>
        <v>0.43240451738868479</v>
      </c>
      <c r="E59" s="23"/>
      <c r="F59" s="26"/>
      <c r="G59" s="26"/>
    </row>
    <row r="60" spans="1:7" x14ac:dyDescent="0.2">
      <c r="B60">
        <v>1.2</v>
      </c>
      <c r="C60" s="27" t="s">
        <v>5</v>
      </c>
      <c r="D60" s="36">
        <f>('Financial Statements'!B7-'Financial Statements'!D7)/'Financial Statements'!D7</f>
        <v>0.45307617914000892</v>
      </c>
      <c r="E60" s="18"/>
      <c r="F60" s="26"/>
      <c r="G60" s="26"/>
    </row>
    <row r="61" spans="1:7" x14ac:dyDescent="0.2">
      <c r="B61">
        <v>1.3</v>
      </c>
      <c r="C61" s="27" t="s">
        <v>6</v>
      </c>
      <c r="D61" s="36">
        <f>('Financial Statements'!B8-'Financial Statements'!D8)/'Financial Statements'!D8</f>
        <v>0.43645338141813744</v>
      </c>
      <c r="E61" s="23"/>
      <c r="F61" s="26"/>
      <c r="G61" s="26"/>
    </row>
    <row r="62" spans="1:7" x14ac:dyDescent="0.2">
      <c r="D62" s="37"/>
      <c r="F62" s="26"/>
      <c r="G62" s="26"/>
    </row>
    <row r="63" spans="1:7" x14ac:dyDescent="0.2">
      <c r="B63" s="18">
        <v>2</v>
      </c>
      <c r="C63" s="17" t="s">
        <v>175</v>
      </c>
      <c r="D63" s="36">
        <f>('Financial Statements'!B13-'Financial Statements'!D13)/'Financial Statements'!D13</f>
        <v>0.62717710278592931</v>
      </c>
      <c r="E63" s="23"/>
      <c r="F63" s="26"/>
      <c r="G63" s="26"/>
    </row>
    <row r="64" spans="1:7" x14ac:dyDescent="0.2">
      <c r="B64" s="18"/>
      <c r="F64" s="26"/>
      <c r="G64" s="26"/>
    </row>
    <row r="65" spans="2:7" x14ac:dyDescent="0.2">
      <c r="B65" s="18">
        <v>3</v>
      </c>
      <c r="C65" s="17" t="s">
        <v>176</v>
      </c>
      <c r="F65" s="26"/>
      <c r="G65" s="26"/>
    </row>
    <row r="66" spans="2:7" x14ac:dyDescent="0.2">
      <c r="B66" s="18">
        <v>3.1</v>
      </c>
      <c r="C66" s="27" t="s">
        <v>11</v>
      </c>
      <c r="D66" s="36">
        <f>('Financial Statements'!B15-'Financial Statements'!D15)/'Financial Statements'!D15</f>
        <v>0.39990401023890787</v>
      </c>
      <c r="E66" s="23"/>
      <c r="F66" s="26"/>
      <c r="G66" s="26"/>
    </row>
    <row r="67" spans="2:7" x14ac:dyDescent="0.2">
      <c r="B67" s="18">
        <v>3.2</v>
      </c>
      <c r="C67" s="27" t="s">
        <v>12</v>
      </c>
      <c r="D67" s="36">
        <f>('Financial Statements'!B16-'Financial Statements'!D16)/'Financial Statements'!D16</f>
        <v>0.2599919662582848</v>
      </c>
      <c r="E67" s="23"/>
      <c r="F67" s="26"/>
      <c r="G67" s="26"/>
    </row>
    <row r="68" spans="2:7" x14ac:dyDescent="0.2">
      <c r="B68" s="18">
        <v>3.3</v>
      </c>
      <c r="C68" s="27" t="s">
        <v>13</v>
      </c>
      <c r="D68" s="36">
        <f>('Financial Statements'!B17-'Financial Statements'!D17)/'Financial Statements'!D17</f>
        <v>0.3278421433743664</v>
      </c>
      <c r="E68" s="23"/>
      <c r="F68" s="26"/>
      <c r="G68" s="26"/>
    </row>
    <row r="69" spans="2:7" x14ac:dyDescent="0.2">
      <c r="B69" s="18"/>
      <c r="C69" s="27"/>
    </row>
    <row r="70" spans="2:7" x14ac:dyDescent="0.2">
      <c r="B70" s="18">
        <v>4</v>
      </c>
      <c r="C70" s="17" t="s">
        <v>177</v>
      </c>
    </row>
    <row r="71" spans="2:7" x14ac:dyDescent="0.2">
      <c r="B71" s="18">
        <v>4.0999999999999996</v>
      </c>
      <c r="C71" s="27" t="s">
        <v>31</v>
      </c>
      <c r="D71" s="36">
        <f>('Financial Statements'!B42-'Financial Statements'!D42)/'Financial Statements'!D42</f>
        <v>-5.7809662313082322E-2</v>
      </c>
      <c r="E71" s="23"/>
      <c r="F71" s="26"/>
      <c r="G71" s="26"/>
    </row>
    <row r="72" spans="2:7" x14ac:dyDescent="0.2">
      <c r="B72" s="18">
        <v>4.2</v>
      </c>
      <c r="C72" s="27" t="s">
        <v>50</v>
      </c>
      <c r="D72" s="36">
        <f>('Financial Statements'!B47-'Financial Statements'!D47)/'Financial Statements'!D47</f>
        <v>0.20632718190647981</v>
      </c>
      <c r="E72" s="23"/>
      <c r="F72" s="26"/>
      <c r="G72" s="26"/>
    </row>
    <row r="73" spans="2:7" x14ac:dyDescent="0.2">
      <c r="B73" s="18">
        <v>4.3</v>
      </c>
      <c r="C73" s="27" t="s">
        <v>33</v>
      </c>
      <c r="D73" s="36">
        <f>('Financial Statements'!B48-'Financial Statements'!D48)/'Financial Statements'!D48</f>
        <v>8.9126488168749685E-2</v>
      </c>
      <c r="E73" s="23"/>
      <c r="F73" s="26"/>
      <c r="G73" s="26"/>
    </row>
    <row r="74" spans="2:7" x14ac:dyDescent="0.2">
      <c r="B74" s="18">
        <v>4.4000000000000004</v>
      </c>
      <c r="C74" s="27" t="s">
        <v>40</v>
      </c>
      <c r="D74" s="36">
        <f>('Financial Statements'!B56-'Financial Statements'!D56)/'Financial Statements'!D56</f>
        <v>0.46104068620009109</v>
      </c>
      <c r="E74" s="23"/>
      <c r="F74" s="26"/>
      <c r="G74" s="26"/>
    </row>
    <row r="75" spans="2:7" x14ac:dyDescent="0.2">
      <c r="B75" s="18">
        <v>4.5</v>
      </c>
      <c r="C75" s="27" t="s">
        <v>53</v>
      </c>
      <c r="D75" s="36">
        <f>('Financial Statements'!B61-'Financial Statements'!D61)/'Financial Statements'!D61</f>
        <v>-3.3011876701685199E-2</v>
      </c>
      <c r="E75" s="26"/>
      <c r="F75" s="26"/>
      <c r="G75" s="26"/>
    </row>
    <row r="76" spans="2:7" x14ac:dyDescent="0.2">
      <c r="B76" s="18">
        <v>4.5999999999999996</v>
      </c>
      <c r="C76" s="27" t="s">
        <v>41</v>
      </c>
      <c r="D76" s="36">
        <f>('Financial Statements'!B62-'Financial Statements'!D62)/'Financial Statements'!D62</f>
        <v>0.16837814108737609</v>
      </c>
      <c r="E76" s="26"/>
      <c r="F76" s="26"/>
      <c r="G76" s="26"/>
    </row>
    <row r="77" spans="2:7" x14ac:dyDescent="0.2">
      <c r="B77" s="18">
        <v>4.7</v>
      </c>
      <c r="C77" s="27" t="s">
        <v>45</v>
      </c>
      <c r="D77" s="36">
        <f>('Financial Statements'!B68-'Financial Statements'!D68)/'Financial Statements'!D68</f>
        <v>-0.2244754281516399</v>
      </c>
      <c r="E77" s="26"/>
      <c r="F77" s="26"/>
      <c r="G77" s="26"/>
    </row>
    <row r="78" spans="2:7" x14ac:dyDescent="0.2">
      <c r="B78" s="18">
        <v>4.8</v>
      </c>
      <c r="C78" s="27" t="s">
        <v>46</v>
      </c>
      <c r="D78" s="36">
        <f>('Financial Statements'!B69-'Financial Statements'!D69)/'Financial Statements'!D69</f>
        <v>8.9126488168749685E-2</v>
      </c>
      <c r="E78" s="26"/>
      <c r="F78" s="26"/>
      <c r="G78" s="26"/>
    </row>
    <row r="81" spans="2:8" x14ac:dyDescent="0.2">
      <c r="B81" s="31" t="s">
        <v>178</v>
      </c>
      <c r="C81" s="31"/>
      <c r="D81" s="31"/>
      <c r="E81" s="31"/>
      <c r="F81" s="31"/>
      <c r="G81" s="31"/>
    </row>
    <row r="82" spans="2:8" x14ac:dyDescent="0.2">
      <c r="D82">
        <v>2022</v>
      </c>
      <c r="E82">
        <v>2021</v>
      </c>
      <c r="F82">
        <v>2020</v>
      </c>
      <c r="G82" t="s">
        <v>186</v>
      </c>
    </row>
    <row r="83" spans="2:8" x14ac:dyDescent="0.2">
      <c r="B83" s="18">
        <v>5</v>
      </c>
      <c r="C83" s="27" t="s">
        <v>179</v>
      </c>
      <c r="D83" s="36">
        <f>('Financial Statements'!B12/'Financial Statements'!B8)</f>
        <v>0.56690369438639909</v>
      </c>
      <c r="E83" s="36">
        <f>'Financial Statements'!C12/'Financial Statements'!C8</f>
        <v>0.58220640374832222</v>
      </c>
      <c r="F83" s="36">
        <f>'Financial Statements'!D12/'Financial Statements'!D8</f>
        <v>0.61766752272189129</v>
      </c>
      <c r="G83" s="36">
        <f>MEDIAN(D83:F83)</f>
        <v>0.58220640374832222</v>
      </c>
    </row>
    <row r="84" spans="2:8" x14ac:dyDescent="0.2">
      <c r="B84" s="18">
        <v>6</v>
      </c>
      <c r="C84" s="27" t="s">
        <v>89</v>
      </c>
      <c r="D84" s="36">
        <f>'Financial Statements'!B13/'Financial Statements'!B8</f>
        <v>0.43309630561360085</v>
      </c>
      <c r="E84" s="36">
        <f>'Financial Statements'!C13/'Financial Statements'!C8</f>
        <v>0.41779359625167778</v>
      </c>
      <c r="F84" s="36">
        <f>'Financial Statements'!D13/'Financial Statements'!D8</f>
        <v>0.38233247727810865</v>
      </c>
      <c r="G84" s="36">
        <f>MEDIAN(D84:F84)</f>
        <v>0.41779359625167778</v>
      </c>
    </row>
    <row r="85" spans="2:8" x14ac:dyDescent="0.2">
      <c r="B85" s="18">
        <v>6</v>
      </c>
      <c r="C85" s="17" t="s">
        <v>90</v>
      </c>
      <c r="D85" s="36"/>
      <c r="E85" s="36"/>
      <c r="F85" s="36"/>
      <c r="G85" s="36"/>
    </row>
    <row r="86" spans="2:8" x14ac:dyDescent="0.2">
      <c r="B86">
        <v>6.1</v>
      </c>
      <c r="C86" s="27" t="s">
        <v>11</v>
      </c>
      <c r="D86" s="36">
        <f>'Financial Statements'!B15/'Financial Statements'!B8</f>
        <v>6.657148363798665E-2</v>
      </c>
      <c r="E86" s="36">
        <f>'Financial Statements'!C15/'Financial Statements'!C8</f>
        <v>5.9904269074427925E-2</v>
      </c>
      <c r="F86" s="36">
        <f>'Financial Statements'!D15/'Financial Statements'!D8</f>
        <v>6.8309564140393061E-2</v>
      </c>
      <c r="G86" s="36">
        <f>MEDIAN(D86:F86)</f>
        <v>6.657148363798665E-2</v>
      </c>
    </row>
    <row r="87" spans="2:8" x14ac:dyDescent="0.2">
      <c r="B87">
        <v>6.2</v>
      </c>
      <c r="C87" s="27" t="s">
        <v>12</v>
      </c>
      <c r="D87" s="36">
        <f>'Financial Statements'!B16/'Financial Statements'!B8</f>
        <v>6.3637378020328261E-2</v>
      </c>
      <c r="E87" s="36">
        <f>'Financial Statements'!C16/'Financial Statements'!C8</f>
        <v>6.006555190163388E-2</v>
      </c>
      <c r="F87" s="36">
        <f>'Financial Statements'!D16/'Financial Statements'!D8</f>
        <v>7.2549769593646979E-2</v>
      </c>
      <c r="G87" s="36">
        <f>MEDIAN(D87:F87)</f>
        <v>6.3637378020328261E-2</v>
      </c>
    </row>
    <row r="88" spans="2:8" x14ac:dyDescent="0.2">
      <c r="B88" s="18">
        <v>7</v>
      </c>
      <c r="C88" s="27" t="s">
        <v>14</v>
      </c>
      <c r="D88" s="36">
        <f>'Financial Statements'!B18/'Financial Statements'!B8</f>
        <v>0.30288744395528594</v>
      </c>
      <c r="E88" s="36">
        <f>'Financial Statements'!C18/'Financial Statements'!C8</f>
        <v>0.29782377527561593</v>
      </c>
      <c r="F88" s="36">
        <f>'Financial Statements'!D18/'Financial Statements'!D8</f>
        <v>0.24147314354406862</v>
      </c>
      <c r="G88" s="36">
        <f>MEDIAN(D88:F88)</f>
        <v>0.29782377527561593</v>
      </c>
    </row>
    <row r="89" spans="2:8" x14ac:dyDescent="0.2">
      <c r="B89" s="18">
        <v>8</v>
      </c>
      <c r="C89" s="27" t="s">
        <v>93</v>
      </c>
      <c r="D89" s="36">
        <f>'Financial Statements'!B22/'Financial Statements'!B8</f>
        <v>0.25309640705199732</v>
      </c>
      <c r="E89" s="36">
        <f>'Financial Statements'!C22/'Financial Statements'!C8</f>
        <v>0.25881793355694238</v>
      </c>
      <c r="F89" s="36">
        <f>'Financial Statements'!D22/'Financial Statements'!D8</f>
        <v>0.20913611278072236</v>
      </c>
      <c r="G89" s="36">
        <f>MEDIAN(D89:F89)</f>
        <v>0.25309640705199732</v>
      </c>
    </row>
    <row r="92" spans="2:8" x14ac:dyDescent="0.2">
      <c r="B92" s="29" t="s">
        <v>180</v>
      </c>
      <c r="C92" s="29"/>
      <c r="D92" s="29"/>
      <c r="E92" s="29"/>
      <c r="F92" s="29"/>
      <c r="G92" s="29"/>
      <c r="H92" t="s">
        <v>187</v>
      </c>
    </row>
    <row r="93" spans="2:8" x14ac:dyDescent="0.2">
      <c r="B93" s="18">
        <v>9</v>
      </c>
      <c r="C93" s="27" t="s">
        <v>94</v>
      </c>
      <c r="D93" s="36">
        <f>'Financial Statements'!B113/'Financial Statements'!B8</f>
        <v>4.9636343348684345E-2</v>
      </c>
      <c r="E93" s="36">
        <f>'Financial Statements'!C113/'Financial Statements'!C8</f>
        <v>6.9392619807171346E-2</v>
      </c>
      <c r="F93" s="36">
        <f>'Financial Statements'!D113/'Financial Statements'!D8</f>
        <v>3.4610130593956616E-2</v>
      </c>
      <c r="G93" s="18"/>
      <c r="H93" s="37">
        <f>MEDIAN(D93:F93)</f>
        <v>4.9636343348684345E-2</v>
      </c>
    </row>
    <row r="94" spans="2:8" x14ac:dyDescent="0.2">
      <c r="B94" s="18">
        <v>10</v>
      </c>
      <c r="C94" s="27" t="s">
        <v>95</v>
      </c>
      <c r="D94" s="36">
        <f>('Financial Statements'!B45+'Financial Statements'!B79)/'Financial Statements'!B8</f>
        <v>0.13496632245237467</v>
      </c>
      <c r="E94" s="36">
        <f>('Financial Statements'!C45+'Financial Statements'!C79)/'Financial Statements'!C8</f>
        <v>0.13865949368126687</v>
      </c>
      <c r="F94" s="36">
        <f>('Financial Statements'!D45+'Financial Statements'!D79)/'Financial Statements'!D8</f>
        <v>0.17420541682603866</v>
      </c>
      <c r="G94" s="26"/>
      <c r="H94" s="37">
        <f>MEDIAN(D94:F94)</f>
        <v>0.13865949368126687</v>
      </c>
    </row>
    <row r="95" spans="2:8" x14ac:dyDescent="0.2">
      <c r="B95" s="18">
        <v>11</v>
      </c>
      <c r="C95" s="27" t="s">
        <v>96</v>
      </c>
      <c r="D95" s="36">
        <f>('Financial Statements'!B45+'Financial Statements'!B79)/'Financial Statements'!B47</f>
        <v>0.24486312399355878</v>
      </c>
      <c r="E95" s="36">
        <f>('Financial Statements'!C45+'Financial Statements'!C79)/'Financial Statements'!C47</f>
        <v>0.23465299815882237</v>
      </c>
      <c r="F95" s="36">
        <f>('Financial Statements'!D45+'Financial Statements'!D79)/'Financial Statements'!D47</f>
        <v>0.265419730817261</v>
      </c>
      <c r="G95" s="26"/>
      <c r="H95" s="37">
        <f>MEDIAN(D95:F95)</f>
        <v>0.24486312399355878</v>
      </c>
    </row>
    <row r="96" spans="2:8" x14ac:dyDescent="0.2">
      <c r="C96" s="27" t="s">
        <v>181</v>
      </c>
      <c r="E96" s="12"/>
      <c r="F96" s="12"/>
      <c r="G96" s="12"/>
    </row>
  </sheetData>
  <mergeCells count="5">
    <mergeCell ref="C2:E2"/>
    <mergeCell ref="B57:G57"/>
    <mergeCell ref="B81:G81"/>
    <mergeCell ref="B92:G92"/>
    <mergeCell ref="C56:F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Martha Rutherford (UG)</cp:lastModifiedBy>
  <dcterms:created xsi:type="dcterms:W3CDTF">2020-05-18T16:32:37Z</dcterms:created>
  <dcterms:modified xsi:type="dcterms:W3CDTF">2023-10-18T12:28:01Z</dcterms:modified>
</cp:coreProperties>
</file>