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8DE0F522-3A9C-4834-858C-BBF555A78240}" xr6:coauthVersionLast="47" xr6:coauthVersionMax="47" xr10:uidLastSave="{00000000-0000-0000-0000-000000000000}"/>
  <bookViews>
    <workbookView xWindow="-108" yWindow="-108" windowWidth="23256" windowHeight="13896"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E5" i="3"/>
  <c r="E6" i="3"/>
  <c r="D6" i="3"/>
  <c r="C6" i="3"/>
  <c r="E29" i="3"/>
  <c r="D29" i="3"/>
  <c r="C29" i="3"/>
  <c r="I94" i="3"/>
  <c r="I93" i="3"/>
  <c r="E95" i="3"/>
  <c r="I95" i="3" s="1"/>
  <c r="G94" i="3"/>
  <c r="E94" i="3"/>
  <c r="D94" i="3"/>
  <c r="D95" i="3"/>
  <c r="G95" i="3"/>
  <c r="G93" i="3"/>
  <c r="E93" i="3"/>
  <c r="D93" i="3"/>
  <c r="H89" i="3"/>
  <c r="H88" i="3"/>
  <c r="H87" i="3"/>
  <c r="H86" i="3"/>
  <c r="H84" i="3"/>
  <c r="D89" i="3"/>
  <c r="G89" i="3"/>
  <c r="E89" i="3"/>
  <c r="G88" i="3"/>
  <c r="E88" i="3"/>
  <c r="G87" i="3"/>
  <c r="E87" i="3"/>
  <c r="G86" i="3"/>
  <c r="E86" i="3"/>
  <c r="G84" i="3"/>
  <c r="E84" i="3"/>
  <c r="G83" i="3"/>
  <c r="H83" i="3" s="1"/>
  <c r="E83" i="3"/>
  <c r="D86" i="3"/>
  <c r="D83" i="3"/>
  <c r="D88" i="3"/>
  <c r="D87" i="3"/>
  <c r="D84" i="3"/>
  <c r="D78" i="3"/>
  <c r="D77" i="3"/>
  <c r="D76" i="3"/>
  <c r="D75" i="3"/>
  <c r="D74" i="3"/>
  <c r="D73" i="3"/>
  <c r="D72" i="3"/>
  <c r="D71" i="3"/>
  <c r="D68" i="3"/>
  <c r="D67" i="3"/>
  <c r="D66" i="3"/>
  <c r="D63" i="3"/>
  <c r="D61" i="3"/>
  <c r="D60" i="3"/>
  <c r="D59" i="3"/>
  <c r="C51" i="3"/>
  <c r="E48" i="3"/>
  <c r="D48" i="3"/>
  <c r="C48" i="3"/>
  <c r="D46" i="3"/>
  <c r="C46" i="3"/>
  <c r="E45" i="3"/>
  <c r="D45" i="3"/>
  <c r="C45" i="3"/>
  <c r="C44" i="3" s="1"/>
  <c r="E43" i="3"/>
  <c r="D43" i="3"/>
  <c r="C43" i="3"/>
  <c r="C42" i="3"/>
  <c r="E41" i="3"/>
  <c r="E44" i="3" s="1"/>
  <c r="D41" i="3"/>
  <c r="D44" i="3" s="1"/>
  <c r="C41" i="3"/>
  <c r="E34" i="3"/>
  <c r="D34" i="3"/>
  <c r="E31" i="3"/>
  <c r="E30" i="3" s="1"/>
  <c r="D31" i="3"/>
  <c r="D30" i="3" s="1"/>
  <c r="C31" i="3"/>
  <c r="C30" i="3" s="1"/>
  <c r="E19" i="3"/>
  <c r="D19" i="3"/>
  <c r="C19" i="3"/>
  <c r="C50" i="3" s="1"/>
  <c r="C8" i="3"/>
  <c r="E8" i="3"/>
  <c r="D8" i="3"/>
  <c r="C9" i="3"/>
  <c r="C34" i="3"/>
  <c r="E27" i="3"/>
  <c r="D27" i="3"/>
  <c r="C27" i="3"/>
  <c r="E26" i="3"/>
  <c r="D26" i="3"/>
  <c r="C26" i="3"/>
  <c r="E25" i="3"/>
  <c r="D25" i="3"/>
  <c r="C25" i="3"/>
  <c r="C5" i="3"/>
  <c r="E14" i="3"/>
  <c r="D14" i="3"/>
  <c r="C14" i="3"/>
  <c r="E17" i="3"/>
  <c r="D17" i="3"/>
  <c r="D15" i="2"/>
  <c r="E54" i="3"/>
  <c r="C15" i="2"/>
  <c r="B15" i="2"/>
  <c r="D54" i="3"/>
  <c r="C54" i="3"/>
  <c r="C36" i="3"/>
  <c r="E36" i="3"/>
  <c r="D36" i="3"/>
  <c r="E35" i="3"/>
  <c r="D35" i="3"/>
  <c r="C35" i="3"/>
  <c r="E28" i="3"/>
  <c r="D28" i="3"/>
  <c r="C28" i="3"/>
  <c r="C10" i="3"/>
  <c r="E9" i="3"/>
  <c r="D9" i="3"/>
  <c r="E11" i="3"/>
  <c r="D11" i="3"/>
  <c r="D12" i="3" s="1"/>
  <c r="C11" i="3"/>
  <c r="E49" i="3"/>
  <c r="D49" i="3"/>
  <c r="C49" i="3"/>
  <c r="E47" i="3"/>
  <c r="D47" i="3"/>
  <c r="C47" i="3"/>
  <c r="E37" i="3"/>
  <c r="C37" i="3"/>
  <c r="D37" i="3"/>
  <c r="E40" i="3"/>
  <c r="E52" i="3" s="1"/>
  <c r="E51" i="3" s="1"/>
  <c r="E50" i="3" s="1"/>
  <c r="D40" i="3"/>
  <c r="D52" i="3" s="1"/>
  <c r="D51" i="3" s="1"/>
  <c r="D50" i="3" s="1"/>
  <c r="C40" i="3"/>
  <c r="E22" i="3"/>
  <c r="D22" i="3"/>
  <c r="C22" i="3"/>
  <c r="E21" i="3"/>
  <c r="D21" i="3"/>
  <c r="C21" i="3"/>
  <c r="E20" i="3"/>
  <c r="D20" i="3"/>
  <c r="C20" i="3"/>
  <c r="E18" i="3"/>
  <c r="D18" i="3"/>
  <c r="C18" i="3"/>
  <c r="E13" i="3"/>
  <c r="D13" i="3"/>
  <c r="C13" i="3"/>
  <c r="E10" i="3"/>
  <c r="E12" i="3" s="1"/>
  <c r="D10" i="3"/>
  <c r="C17" i="3"/>
  <c r="E7" i="3"/>
  <c r="D7" i="3"/>
  <c r="C7" i="3"/>
  <c r="D108" i="1"/>
  <c r="C108" i="1"/>
  <c r="B108" i="1"/>
  <c r="D99" i="1"/>
  <c r="C99" i="1"/>
  <c r="B99" i="1"/>
  <c r="E46" i="3" l="1"/>
  <c r="D42" i="3"/>
  <c r="E42" i="3"/>
  <c r="C12" i="3"/>
  <c r="D68" i="1"/>
  <c r="C68" i="1"/>
  <c r="B68" i="1"/>
  <c r="D61" i="1"/>
  <c r="C61" i="1"/>
  <c r="B61" i="1"/>
  <c r="D56" i="1"/>
  <c r="C56" i="1"/>
  <c r="C62" i="1" s="1"/>
  <c r="B56" i="1"/>
  <c r="D47" i="1"/>
  <c r="C47" i="1"/>
  <c r="B47" i="1"/>
  <c r="D42" i="1"/>
  <c r="C42" i="1"/>
  <c r="B42" i="1"/>
  <c r="B48" i="1" s="1"/>
  <c r="D17" i="1"/>
  <c r="C17" i="1"/>
  <c r="B17" i="1"/>
  <c r="D12" i="1"/>
  <c r="C12" i="1"/>
  <c r="B12" i="1"/>
  <c r="D8" i="1"/>
  <c r="D13" i="1" s="1"/>
  <c r="D18" i="1" s="1"/>
  <c r="D20" i="1" s="1"/>
  <c r="D22" i="1" s="1"/>
  <c r="D76" i="1" s="1"/>
  <c r="D91" i="1" s="1"/>
  <c r="D109" i="1" s="1"/>
  <c r="C8" i="1"/>
  <c r="B8" i="1"/>
  <c r="E3" i="3"/>
  <c r="D3" i="3"/>
  <c r="C3" i="3"/>
  <c r="D33" i="1"/>
  <c r="D73" i="1" s="1"/>
  <c r="C33" i="1"/>
  <c r="C73" i="1" s="1"/>
  <c r="B33" i="1"/>
  <c r="B73" i="1" s="1"/>
  <c r="B13" i="1" l="1"/>
  <c r="B18" i="1" s="1"/>
  <c r="B20" i="1" s="1"/>
  <c r="B22" i="1" s="1"/>
  <c r="B76" i="1" s="1"/>
  <c r="B91" i="1" s="1"/>
  <c r="B109" i="1" s="1"/>
  <c r="C13" i="1"/>
  <c r="C18" i="1" s="1"/>
  <c r="C20" i="1" s="1"/>
  <c r="C22" i="1" s="1"/>
  <c r="C76" i="1" s="1"/>
  <c r="C91" i="1" s="1"/>
  <c r="C109" i="1" s="1"/>
  <c r="B62" i="1"/>
  <c r="C48" i="1"/>
  <c r="D62" i="1"/>
  <c r="D69" i="1" s="1"/>
  <c r="C69" i="1"/>
  <c r="D48" i="1"/>
  <c r="B69" i="1"/>
  <c r="A47" i="3"/>
  <c r="A49" i="3" s="1"/>
  <c r="A16" i="3"/>
  <c r="A17" i="3" s="1"/>
  <c r="A18" i="3" s="1"/>
  <c r="A20" i="3" s="1"/>
  <c r="A22" i="3" s="1"/>
  <c r="A5" i="3"/>
  <c r="A6" i="3" s="1"/>
  <c r="A7" i="3" s="1"/>
  <c r="A8" i="3" s="1"/>
  <c r="A9" i="3" s="1"/>
  <c r="A10" i="3" s="1"/>
  <c r="A11" i="3" s="1"/>
  <c r="A12" i="3" s="1"/>
  <c r="A13" i="3" s="1"/>
  <c r="A24" i="3" l="1"/>
  <c r="A25" i="3" s="1"/>
  <c r="A26" i="3" s="1"/>
  <c r="A27" i="3" s="1"/>
  <c r="A28" i="3" s="1"/>
  <c r="A29" i="3" s="1"/>
  <c r="A30" i="3" s="1"/>
  <c r="A33" i="3" l="1"/>
  <c r="A34" i="3" s="1"/>
  <c r="A35" i="3" s="1"/>
  <c r="A36" i="3" s="1"/>
  <c r="A37" i="3" s="1"/>
  <c r="A39" i="3" l="1"/>
  <c r="A40" i="3" s="1"/>
  <c r="A41" i="3" s="1"/>
  <c r="A42" i="3" s="1"/>
  <c r="A43" i="3" s="1"/>
  <c r="A44" i="3" s="1"/>
  <c r="A46" i="3" s="1"/>
  <c r="A48" i="3" s="1"/>
  <c r="A50" i="3" s="1"/>
</calcChain>
</file>

<file path=xl/sharedStrings.xml><?xml version="1.0" encoding="utf-8"?>
<sst xmlns="http://schemas.openxmlformats.org/spreadsheetml/2006/main" count="256" uniqueCount="194">
  <si>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</si>
  <si>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</si>
  <si>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</si>
  <si>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</si>
  <si>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</si>
  <si>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</si>
  <si>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</si>
  <si>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</si>
  <si>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</si>
  <si>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</si>
  <si>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</si>
  <si>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</si>
  <si>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</si>
  <si>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</si>
  <si>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</si>
  <si>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</si>
  <si>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</si>
  <si>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</si>
  <si>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</si>
  <si>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</si>
  <si>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</si>
  <si>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</si>
  <si>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</si>
  <si>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</si>
  <si>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</si>
  <si>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</si>
  <si>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</si>
  <si>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</si>
  <si>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</si>
  <si>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</si>
  <si>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</si>
  <si>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</si>
  <si>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</si>
  <si>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</si>
  <si>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</si>
  <si>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</si>
  <si>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</si>
  <si>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</si>
  <si>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</si>
  <si>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</si>
  <si>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</si>
  <si>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</si>
  <si>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</si>
  <si>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</si>
  <si>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</si>
  <si>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</si>
  <si>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</si>
  <si>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</si>
  <si>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</si>
  <si>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</si>
  <si>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</si>
  <si>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</si>
  <si>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</si>
  <si>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</si>
  <si>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</si>
  <si>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</si>
  <si>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</si>
  <si>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</si>
  <si>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</si>
  <si>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</si>
  <si>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</si>
  <si>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</si>
  <si>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</si>
  <si>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</si>
  <si>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</si>
  <si>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</si>
  <si>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</si>
  <si>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</si>
  <si>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</si>
  <si>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</si>
  <si>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</si>
  <si>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</si>
  <si>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</si>
  <si>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</si>
  <si>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</si>
  <si>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</si>
  <si>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</si>
  <si>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</si>
  <si>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</si>
  <si>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</si>
  <si>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</si>
  <si>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</si>
  <si>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</si>
  <si>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</si>
  <si>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</si>
  <si>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</si>
  <si>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</si>
  <si>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</si>
  <si>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</si>
  <si>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</si>
  <si>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</si>
  <si>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</si>
  <si>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</si>
  <si>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</si>
  <si>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</si>
  <si>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</si>
  <si>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</si>
  <si>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</si>
  <si>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</si>
  <si>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</si>
  <si>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</si>
  <si>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</si>
  <si>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</si>
  <si>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</si>
  <si>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</si>
  <si>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</si>
  <si>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</si>
  <si>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</si>
  <si>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</si>
  <si>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</si>
  <si>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</si>
  <si>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</si>
  <si>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</si>
  <si>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</si>
  <si>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</si>
  <si>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</si>
  <si>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</si>
  <si>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</si>
  <si>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</si>
  <si>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</si>
  <si>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</si>
  <si>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</si>
  <si>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</si>
  <si>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</si>
  <si>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</si>
  <si>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</si>
  <si>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</si>
  <si>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</si>
  <si>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</si>
  <si>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</si>
  <si>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</si>
  <si>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</si>
  <si>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</si>
  <si>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</si>
  <si>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</si>
  <si>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</si>
  <si>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</si>
  <si>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</si>
  <si>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</si>
  <si>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</si>
  <si>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</si>
  <si>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</si>
  <si>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</si>
  <si>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</si>
  <si>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</si>
  <si>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</si>
  <si>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All of the above ratios should be calculated in the "List of Ratios" tab</t>
  </si>
  <si>
    <t>The ratios that should be calculated are listed in the ratios tab</t>
  </si>
  <si>
    <t>In addition to the above, you are required to calculate the growth rates for the following:</t>
  </si>
  <si>
    <t xml:space="preserve">cashflow </t>
  </si>
  <si>
    <t xml:space="preserve">sales growth </t>
  </si>
  <si>
    <t>Gross Profit</t>
  </si>
  <si>
    <t xml:space="preserve">Cost of goods sold </t>
  </si>
  <si>
    <t>Current Assets / Current Liabilities</t>
  </si>
  <si>
    <t>Quick Assets / Total Current Liabilities</t>
  </si>
  <si>
    <t>Current Assets / Daily Operational Expenses where Daily Operational Expenses = (Annual Operating Expenses - Noncash Charges) / 365</t>
  </si>
  <si>
    <t>Operating Income + Depreciation &amp; Amortization</t>
  </si>
  <si>
    <t>For debt, include only the term debt under long term liabilities other items in long term liabilities are not actual debt)</t>
  </si>
  <si>
    <t>For debt, include only the term debt. Capital = Long term Debt + Total shareholder equity</t>
  </si>
  <si>
    <t>Net Operating Income/ (Interest + Debt repayment) , debt repayment can be found in cash flow statement</t>
  </si>
  <si>
    <t>Cash from operations + Capex + Net debt issued</t>
  </si>
  <si>
    <t>FCFE/Diluted number of shares</t>
  </si>
  <si>
    <t>remove multiplication by 365, its not days, it’s a multiple</t>
  </si>
  <si>
    <t>Net Income / Diluted number of Shares</t>
  </si>
  <si>
    <t>Share Price / Book Value per Share</t>
  </si>
  <si>
    <t>Total shareholder equity / Diluted number of Shares</t>
  </si>
  <si>
    <t>Dividend Paid (can be found in cash flow)/ Diluted number of Shares</t>
  </si>
  <si>
    <t>DPS/EPS</t>
  </si>
  <si>
    <t>EBIT/Capital employed, where Capital = Long term Debt + Total shareholder equity</t>
  </si>
  <si>
    <t>Dividend Per Share / Share Price</t>
  </si>
  <si>
    <t>EV / EBITDA</t>
  </si>
  <si>
    <t>Market Cap + Total Debt - (Cash + Cash Equivalents)</t>
  </si>
  <si>
    <t xml:space="preserve"> Please calcualte the following</t>
  </si>
  <si>
    <t>Growth Rates (%)</t>
  </si>
  <si>
    <t>Sales</t>
  </si>
  <si>
    <t>Gross Profits</t>
  </si>
  <si>
    <t>Operating Expenses</t>
  </si>
  <si>
    <t>Balance Sheet Main Line Items</t>
  </si>
  <si>
    <t>Margins/ as a percentage of net sales (%)</t>
  </si>
  <si>
    <t>COGS (Cost of goods sold)</t>
  </si>
  <si>
    <t>Other Calculations (%)</t>
  </si>
  <si>
    <t>Capex</t>
  </si>
  <si>
    <t>remove multiplication by 100 and use the % formatting instead</t>
  </si>
  <si>
    <t>Feedback</t>
  </si>
  <si>
    <t>done</t>
  </si>
  <si>
    <t xml:space="preserve">done </t>
  </si>
  <si>
    <t>average</t>
  </si>
  <si>
    <t xml:space="preserve">average </t>
  </si>
  <si>
    <t>Debt repayment can be found in cash flow statement, please link it to that number</t>
  </si>
  <si>
    <t>Remove the links to debt in balance sheet, debt issued can be found in cash flow statement, net debt issued is debt issued - repayments of debt</t>
  </si>
  <si>
    <t>Note that the income statement is in millions while the share count is in absolute value, therefore, please divide the share count by 1,000 in brackets</t>
  </si>
  <si>
    <t>Link total shareholder equity to balance sheet. Note that the income statement is in millions while the share count is in absolute value, therefore, please divide the share count by 1,000 in brackets</t>
  </si>
  <si>
    <t>Link dividend paid to cash flow statement. Note that the income statement is in millions while the share count is in absolute value, therefore, please divide the share count by 1,000 in brackets</t>
  </si>
  <si>
    <t>Feedback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</si>
</sst>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1"/>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9">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2" fontId="0" fillId="0" borderId="0" xfId="0" applyNumberFormat="1"/>
    <xf numFmtId="2" fontId="0" fillId="0" borderId="0" xfId="3" applyNumberFormat="1" applyFont="1"/>
    <xf numFmtId="9" fontId="0" fillId="0" borderId="0" xfId="3" applyFont="1"/>
    <xf numFmtId="164" fontId="0" fillId="0" borderId="0" xfId="1" applyFont="1"/>
    <xf numFmtId="0" fontId="0" fillId="0" borderId="0" xfId="0" applyAlignment="1">
      <alignment horizontal="left"/>
    </xf>
    <xf numFmtId="0" fontId="8" fillId="2" borderId="0" xfId="0" applyFont="1" applyFill="1" applyAlignment="1">
      <alignment horizontal="center"/>
    </xf>
    <xf numFmtId="0" fontId="2" fillId="0" borderId="0" xfId="0" applyFont="1" applyAlignment="1">
      <alignment horizontal="center"/>
    </xf>
    <xf numFmtId="167" fontId="0" fillId="0" borderId="0" xfId="0" applyNumberFormat="1"/>
    <xf numFmtId="165" fontId="0" fillId="0" borderId="0" xfId="0" applyNumberFormat="1"/>
    <xf numFmtId="164" fontId="0" fillId="0" borderId="0" xfId="0" applyNumberFormat="1"/>
    <xf numFmtId="10" fontId="0" fillId="0" borderId="0" xfId="3" applyNumberFormat="1" applyFont="1"/>
    <xf numFmtId="10" fontId="0" fillId="0" borderId="0" xfId="0" applyNumberFormat="1"/>
    <xf numFmtId="0" fontId="2" fillId="0" borderId="0" xfId="0" applyFont="1" applyAlignment="1">
      <alignment horizontal="center"/>
    </xf>
    <xf numFmtId="0" fontId="2" fillId="3" borderId="0" xfId="0" applyFont="1" applyFill="1" applyAlignment="1">
      <alignment horizontal="center"/>
    </xf>
    <xf numFmtId="164" fontId="2" fillId="0" borderId="0" xfId="1" applyFont="1" applyAlignment="1">
      <alignment horizontal="center"/>
    </xf>
    <xf numFmtId="0" fontId="2" fillId="5"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opLeftCell="A13" workbookViewId="0">
      <selection activeCell="A8" sqref="A8"/>
    </sheetView>
  </sheetViews>
  <sheetFormatPr defaultColWidth="8.77734375" defaultRowHeight="14.4" x14ac:dyDescent="0.3"/>
  <cols>
    <col min="1" max="1" width="104.44140625" customWidth="1"/>
  </cols>
  <sheetData>
    <row r="1" spans="1:4" ht="23.4" x14ac:dyDescent="0.45">
      <c r="A1" s="5" t="s">
        <v>87</v>
      </c>
    </row>
    <row r="3" spans="1:4" x14ac:dyDescent="0.3">
      <c r="A3" s="7" t="s">
        <v>141</v>
      </c>
    </row>
    <row r="4" spans="1:4" x14ac:dyDescent="0.3">
      <c r="A4" s="16" t="s">
        <v>88</v>
      </c>
    </row>
    <row r="5" spans="1:4" x14ac:dyDescent="0.3">
      <c r="A5" s="7" t="s">
        <v>97</v>
      </c>
    </row>
    <row r="6" spans="1:4" x14ac:dyDescent="0.3">
      <c r="A6" s="1" t="s">
        <v>147</v>
      </c>
    </row>
    <row r="7" spans="1:4" x14ac:dyDescent="0.3">
      <c r="A7" s="1"/>
    </row>
    <row r="8" spans="1:4" x14ac:dyDescent="0.3">
      <c r="A8" s="17" t="s">
        <v>148</v>
      </c>
    </row>
    <row r="9" spans="1:4" x14ac:dyDescent="0.3">
      <c r="A9" s="1" t="s">
        <v>145</v>
      </c>
    </row>
    <row r="10" spans="1:4" x14ac:dyDescent="0.3">
      <c r="A10" s="1" t="s">
        <v>89</v>
      </c>
    </row>
    <row r="11" spans="1:4" x14ac:dyDescent="0.3">
      <c r="A11" s="1" t="s">
        <v>90</v>
      </c>
    </row>
    <row r="12" spans="1:4" x14ac:dyDescent="0.3">
      <c r="A12" s="1" t="s">
        <v>91</v>
      </c>
    </row>
    <row r="13" spans="1:4" x14ac:dyDescent="0.3">
      <c r="A13" s="1"/>
    </row>
    <row r="14" spans="1:4" x14ac:dyDescent="0.3">
      <c r="A14" s="17" t="s">
        <v>92</v>
      </c>
    </row>
    <row r="15" spans="1:4" x14ac:dyDescent="0.3">
      <c r="A15" s="1" t="s">
        <v>89</v>
      </c>
      <c r="B15">
        <f>('Financial Statements'!B13/'Financial Statements'!B8)*100</f>
        <v>43.309630561360088</v>
      </c>
      <c r="C15">
        <f>('Financial Statements'!C13/'Financial Statements'!C8)*100</f>
        <v>41.779359625167778</v>
      </c>
      <c r="D15">
        <f>('Financial Statements'!D13/'Financial Statements'!D8)*100</f>
        <v>38.233247727810863</v>
      </c>
    </row>
    <row r="16" spans="1:4" x14ac:dyDescent="0.3">
      <c r="A16" s="1" t="s">
        <v>152</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78" workbookViewId="0">
      <selection activeCell="D108" sqref="D108"/>
    </sheetView>
  </sheetViews>
  <sheetFormatPr defaultColWidth="8.77734375" defaultRowHeight="14.4" x14ac:dyDescent="0.3"/>
  <cols>
    <col min="1" max="1" width="59" customWidth="1"/>
    <col min="2" max="3" width="11.44140625" bestFit="1" customWidth="1"/>
    <col min="4" max="4" width="11.6640625" bestFit="1" customWidth="1"/>
  </cols>
  <sheetData>
    <row r="1" spans="1:10" ht="60" customHeight="1" x14ac:dyDescent="0.3">
      <c r="A1" s="6" t="s">
        <v>0</v>
      </c>
      <c r="B1" s="4" t="s">
        <v>2</v>
      </c>
      <c r="C1" s="4"/>
      <c r="D1" s="4"/>
      <c r="E1" s="4"/>
      <c r="F1" s="4"/>
      <c r="G1" s="4"/>
      <c r="H1" s="4"/>
      <c r="I1" s="4"/>
      <c r="J1" s="4"/>
    </row>
    <row r="2" spans="1:10" x14ac:dyDescent="0.3">
      <c r="A2" s="36" t="s">
        <v>1</v>
      </c>
      <c r="B2" s="36"/>
      <c r="C2" s="36"/>
      <c r="D2" s="36"/>
    </row>
    <row r="3" spans="1:10" x14ac:dyDescent="0.3">
      <c r="B3" s="35" t="s">
        <v>23</v>
      </c>
      <c r="C3" s="35"/>
      <c r="D3" s="35"/>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row>
    <row r="14" spans="1:10" x14ac:dyDescent="0.3">
      <c r="A14" t="s">
        <v>10</v>
      </c>
      <c r="B14" s="12"/>
      <c r="C14" s="12"/>
      <c r="D14" s="12"/>
    </row>
    <row r="15" spans="1:10" x14ac:dyDescent="0.3">
      <c r="A15" s="1" t="s">
        <v>11</v>
      </c>
      <c r="B15" s="12">
        <v>26251</v>
      </c>
      <c r="C15" s="12">
        <v>21914</v>
      </c>
      <c r="D15" s="12">
        <v>18752</v>
      </c>
    </row>
    <row r="16" spans="1:10" x14ac:dyDescent="0.3">
      <c r="A16" s="1" t="s">
        <v>12</v>
      </c>
      <c r="B16" s="12">
        <v>25094</v>
      </c>
      <c r="C16" s="12">
        <v>21973</v>
      </c>
      <c r="D16" s="12">
        <v>19916</v>
      </c>
    </row>
    <row r="17" spans="1:4" x14ac:dyDescent="0.3">
      <c r="A17" s="8" t="s">
        <v>13</v>
      </c>
      <c r="B17" s="13">
        <f>+B15+B16</f>
        <v>51345</v>
      </c>
      <c r="C17" s="13">
        <f t="shared" ref="C17" si="3">+C15+C16</f>
        <v>43887</v>
      </c>
      <c r="D17" s="13">
        <f t="shared" ref="D17" si="4">+D15+D16</f>
        <v>38668</v>
      </c>
    </row>
    <row r="18" spans="1:4" s="7" customFormat="1" x14ac:dyDescent="0.3">
      <c r="A18" s="8" t="s">
        <v>14</v>
      </c>
      <c r="B18" s="13">
        <f>+B13-B17</f>
        <v>119437</v>
      </c>
      <c r="C18" s="13">
        <f t="shared" ref="C18:D18" si="5">+C13-C17</f>
        <v>108949</v>
      </c>
      <c r="D18" s="13">
        <f t="shared" si="5"/>
        <v>66288</v>
      </c>
    </row>
    <row r="19" spans="1:4" x14ac:dyDescent="0.3">
      <c r="A19" t="s">
        <v>15</v>
      </c>
      <c r="B19" s="12">
        <v>-334</v>
      </c>
      <c r="C19" s="12">
        <v>258</v>
      </c>
      <c r="D19" s="12">
        <v>803</v>
      </c>
    </row>
    <row r="20" spans="1:4" x14ac:dyDescent="0.3">
      <c r="A20" s="8" t="s">
        <v>16</v>
      </c>
      <c r="B20" s="13">
        <f>+B18+B19</f>
        <v>119103</v>
      </c>
      <c r="C20" s="13">
        <f t="shared" ref="C20:D20" si="6">+C18+C19</f>
        <v>109207</v>
      </c>
      <c r="D20" s="13">
        <f t="shared" si="6"/>
        <v>67091</v>
      </c>
    </row>
    <row r="21" spans="1:4" x14ac:dyDescent="0.3">
      <c r="A21" t="s">
        <v>17</v>
      </c>
      <c r="B21" s="12">
        <v>19300</v>
      </c>
      <c r="C21" s="12">
        <v>14527</v>
      </c>
      <c r="D21" s="12">
        <v>9680</v>
      </c>
    </row>
    <row r="22" spans="1:4" ht="15" thickBot="1" x14ac:dyDescent="0.35">
      <c r="A22" s="9" t="s">
        <v>18</v>
      </c>
      <c r="B22" s="14">
        <f>+B20-B21</f>
        <v>99803</v>
      </c>
      <c r="C22" s="14">
        <f t="shared" ref="C22:D22" si="7">+C20-C21</f>
        <v>94680</v>
      </c>
      <c r="D22" s="14">
        <f t="shared" si="7"/>
        <v>57411</v>
      </c>
    </row>
    <row r="23" spans="1:4" ht="15" thickTop="1" x14ac:dyDescent="0.3">
      <c r="A23" t="s">
        <v>19</v>
      </c>
    </row>
    <row r="24" spans="1:4" x14ac:dyDescent="0.3">
      <c r="A24" s="1" t="s">
        <v>20</v>
      </c>
      <c r="B24" s="10">
        <v>6.15</v>
      </c>
      <c r="C24" s="10">
        <v>5.67</v>
      </c>
      <c r="D24" s="10">
        <v>3.31</v>
      </c>
    </row>
    <row r="25" spans="1:4" x14ac:dyDescent="0.3">
      <c r="A25" s="1" t="s">
        <v>21</v>
      </c>
      <c r="B25" s="10">
        <v>6.11</v>
      </c>
      <c r="C25" s="10">
        <v>5.61</v>
      </c>
      <c r="D25" s="10">
        <v>3.28</v>
      </c>
    </row>
    <row r="26" spans="1:4" x14ac:dyDescent="0.3">
      <c r="A26" t="s">
        <v>22</v>
      </c>
    </row>
    <row r="27" spans="1:4" x14ac:dyDescent="0.3">
      <c r="A27" s="1" t="s">
        <v>20</v>
      </c>
      <c r="B27" s="2">
        <v>16215963</v>
      </c>
      <c r="C27" s="2">
        <v>16701272</v>
      </c>
      <c r="D27" s="2">
        <v>17352119</v>
      </c>
    </row>
    <row r="28" spans="1:4" x14ac:dyDescent="0.3">
      <c r="A28" s="1" t="s">
        <v>21</v>
      </c>
      <c r="B28" s="2">
        <v>16325819</v>
      </c>
      <c r="C28" s="2">
        <v>16864919</v>
      </c>
      <c r="D28" s="2">
        <v>17528214</v>
      </c>
    </row>
    <row r="31" spans="1:4" x14ac:dyDescent="0.3">
      <c r="A31" s="36" t="s">
        <v>24</v>
      </c>
      <c r="B31" s="36"/>
      <c r="C31" s="36"/>
      <c r="D31" s="36"/>
    </row>
    <row r="32" spans="1:4" x14ac:dyDescent="0.3">
      <c r="B32" s="35" t="s">
        <v>142</v>
      </c>
      <c r="C32" s="35"/>
      <c r="D32" s="35"/>
    </row>
    <row r="33" spans="1:4" x14ac:dyDescent="0.3">
      <c r="B33" s="7">
        <f>+B4</f>
        <v>2022</v>
      </c>
      <c r="C33" s="7">
        <f t="shared" ref="C33:D33" si="8">+C4</f>
        <v>2021</v>
      </c>
      <c r="D33" s="7">
        <f t="shared" si="8"/>
        <v>2020</v>
      </c>
    </row>
    <row r="35" spans="1:4" x14ac:dyDescent="0.3">
      <c r="A35" t="s">
        <v>25</v>
      </c>
    </row>
    <row r="36" spans="1:4" x14ac:dyDescent="0.3">
      <c r="A36" s="1" t="s">
        <v>26</v>
      </c>
      <c r="B36" s="12">
        <v>23646</v>
      </c>
      <c r="C36" s="12">
        <v>34940</v>
      </c>
      <c r="D36" s="12">
        <v>38016</v>
      </c>
    </row>
    <row r="37" spans="1:4" x14ac:dyDescent="0.3">
      <c r="A37" s="1" t="s">
        <v>27</v>
      </c>
      <c r="B37" s="12">
        <v>24658</v>
      </c>
      <c r="C37" s="12">
        <v>27699</v>
      </c>
      <c r="D37" s="12">
        <v>52927</v>
      </c>
    </row>
    <row r="38" spans="1:4" x14ac:dyDescent="0.3">
      <c r="A38" s="1" t="s">
        <v>28</v>
      </c>
      <c r="B38" s="12">
        <v>28184</v>
      </c>
      <c r="C38" s="12">
        <v>26278</v>
      </c>
      <c r="D38" s="12">
        <v>16120</v>
      </c>
    </row>
    <row r="39" spans="1:4" x14ac:dyDescent="0.3">
      <c r="A39" s="1" t="s">
        <v>29</v>
      </c>
      <c r="B39" s="12">
        <v>4946</v>
      </c>
      <c r="C39" s="12">
        <v>6580</v>
      </c>
      <c r="D39" s="12">
        <v>4061</v>
      </c>
    </row>
    <row r="40" spans="1:4" x14ac:dyDescent="0.3">
      <c r="A40" s="1" t="s">
        <v>47</v>
      </c>
      <c r="B40" s="12">
        <v>32748</v>
      </c>
      <c r="C40" s="12">
        <v>25228</v>
      </c>
      <c r="D40" s="12">
        <v>21325</v>
      </c>
    </row>
    <row r="41" spans="1:4" x14ac:dyDescent="0.3">
      <c r="A41" s="1" t="s">
        <v>30</v>
      </c>
      <c r="B41" s="12">
        <v>21223</v>
      </c>
      <c r="C41" s="12">
        <v>14111</v>
      </c>
      <c r="D41" s="12">
        <v>11264</v>
      </c>
    </row>
    <row r="42" spans="1:4" x14ac:dyDescent="0.3">
      <c r="A42" s="8" t="s">
        <v>31</v>
      </c>
      <c r="B42" s="13">
        <f>+SUM(B36:B41)</f>
        <v>135405</v>
      </c>
      <c r="C42" s="13">
        <f t="shared" ref="C42:D42" si="9">+SUM(C36:C41)</f>
        <v>134836</v>
      </c>
      <c r="D42" s="13">
        <f t="shared" si="9"/>
        <v>143713</v>
      </c>
    </row>
    <row r="43" spans="1:4" x14ac:dyDescent="0.3">
      <c r="A43" t="s">
        <v>48</v>
      </c>
      <c r="B43" s="12"/>
      <c r="C43" s="12"/>
      <c r="D43" s="12"/>
    </row>
    <row r="44" spans="1:4" x14ac:dyDescent="0.3">
      <c r="A44" s="1" t="s">
        <v>27</v>
      </c>
      <c r="B44" s="12">
        <v>120805</v>
      </c>
      <c r="C44" s="12">
        <v>127877</v>
      </c>
      <c r="D44" s="12">
        <v>100887</v>
      </c>
    </row>
    <row r="45" spans="1:4" x14ac:dyDescent="0.3">
      <c r="A45" s="1" t="s">
        <v>32</v>
      </c>
      <c r="B45" s="12">
        <v>42117</v>
      </c>
      <c r="C45" s="12">
        <v>39440</v>
      </c>
      <c r="D45" s="12">
        <v>36766</v>
      </c>
    </row>
    <row r="46" spans="1:4" x14ac:dyDescent="0.3">
      <c r="A46" s="1" t="s">
        <v>49</v>
      </c>
      <c r="B46" s="12">
        <v>54428</v>
      </c>
      <c r="C46" s="12">
        <v>48849</v>
      </c>
      <c r="D46" s="12">
        <v>42522</v>
      </c>
    </row>
    <row r="47" spans="1:4" x14ac:dyDescent="0.3">
      <c r="A47" s="8" t="s">
        <v>50</v>
      </c>
      <c r="B47" s="13">
        <f>+SUM(B44:B46)</f>
        <v>217350</v>
      </c>
      <c r="C47" s="13">
        <f t="shared" ref="C47:D47" si="10">+SUM(C44:C46)</f>
        <v>216166</v>
      </c>
      <c r="D47" s="13">
        <f t="shared" si="10"/>
        <v>180175</v>
      </c>
    </row>
    <row r="48" spans="1:4" ht="15" thickBot="1" x14ac:dyDescent="0.35">
      <c r="A48" s="9" t="s">
        <v>33</v>
      </c>
      <c r="B48" s="14">
        <f>+B42+B47</f>
        <v>352755</v>
      </c>
      <c r="C48" s="14">
        <f t="shared" ref="C48:D48" si="11">+C42+C47</f>
        <v>351002</v>
      </c>
      <c r="D48" s="14">
        <f t="shared" si="11"/>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1" t="s">
        <v>39</v>
      </c>
      <c r="B55" s="12">
        <v>11128</v>
      </c>
      <c r="C55" s="12">
        <v>9613</v>
      </c>
      <c r="D55" s="12">
        <v>8773</v>
      </c>
    </row>
    <row r="56" spans="1:4" x14ac:dyDescent="0.3">
      <c r="A56" s="8" t="s">
        <v>40</v>
      </c>
      <c r="B56" s="13">
        <f>+SUM(B51:B55)</f>
        <v>153982</v>
      </c>
      <c r="C56" s="13">
        <f t="shared" ref="C56:D56" si="12">+SUM(C51:C55)</f>
        <v>125481</v>
      </c>
      <c r="D56" s="13">
        <f t="shared" si="12"/>
        <v>105392</v>
      </c>
    </row>
    <row r="57" spans="1:4" x14ac:dyDescent="0.3">
      <c r="A57" t="s">
        <v>51</v>
      </c>
      <c r="B57" s="12"/>
      <c r="C57" s="12"/>
      <c r="D57" s="12"/>
    </row>
    <row r="58" spans="1:4" x14ac:dyDescent="0.3">
      <c r="A58" s="1" t="s">
        <v>37</v>
      </c>
      <c r="B58" s="12"/>
      <c r="C58" s="12"/>
      <c r="D58" s="12"/>
    </row>
    <row r="59" spans="1:4" x14ac:dyDescent="0.3">
      <c r="A59" s="1" t="s">
        <v>39</v>
      </c>
      <c r="B59" s="12">
        <v>98959</v>
      </c>
      <c r="C59" s="12">
        <v>109106</v>
      </c>
      <c r="D59" s="12">
        <v>98667</v>
      </c>
    </row>
    <row r="60" spans="1:4" x14ac:dyDescent="0.3">
      <c r="A60" s="1" t="s">
        <v>52</v>
      </c>
      <c r="B60" s="12">
        <v>49142</v>
      </c>
      <c r="C60" s="12">
        <v>53325</v>
      </c>
      <c r="D60" s="12">
        <v>54490</v>
      </c>
    </row>
    <row r="61" spans="1:4" x14ac:dyDescent="0.3">
      <c r="A61" s="22" t="s">
        <v>53</v>
      </c>
      <c r="B61" s="21">
        <f>+B59+B60</f>
        <v>148101</v>
      </c>
      <c r="C61" s="21">
        <f t="shared" ref="C61:D61" si="13">+C59+C60</f>
        <v>162431</v>
      </c>
      <c r="D61" s="21">
        <f t="shared" si="13"/>
        <v>153157</v>
      </c>
    </row>
    <row r="62" spans="1:4" x14ac:dyDescent="0.3">
      <c r="A62" s="8" t="s">
        <v>41</v>
      </c>
      <c r="B62" s="13">
        <f>+B56+B61</f>
        <v>302083</v>
      </c>
      <c r="C62" s="13">
        <f t="shared" ref="C62:D62" si="14">+C56+C61</f>
        <v>287912</v>
      </c>
      <c r="D62" s="13">
        <f t="shared" si="14"/>
        <v>258549</v>
      </c>
    </row>
    <row r="63" spans="1:4" x14ac:dyDescent="0.3">
      <c r="B63" s="12"/>
      <c r="C63" s="12"/>
      <c r="D63" s="12"/>
    </row>
    <row r="64" spans="1:4"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 t="shared" ref="C68:D68" si="15">+SUM(C65:C67)</f>
        <v>63090</v>
      </c>
      <c r="D68" s="13">
        <f t="shared" si="15"/>
        <v>65339</v>
      </c>
    </row>
    <row r="69" spans="1:4" ht="15" thickBot="1" x14ac:dyDescent="0.35">
      <c r="A69" s="9" t="s">
        <v>46</v>
      </c>
      <c r="B69" s="14">
        <f>+B68+B62</f>
        <v>352755</v>
      </c>
      <c r="C69" s="14">
        <f t="shared" ref="C69:D69" si="16">+C68+C62</f>
        <v>351002</v>
      </c>
      <c r="D69" s="14">
        <f t="shared" si="16"/>
        <v>323888</v>
      </c>
    </row>
    <row r="70" spans="1:4" ht="15" thickTop="1" x14ac:dyDescent="0.3"/>
    <row r="71" spans="1:4" x14ac:dyDescent="0.3">
      <c r="A71" s="36" t="s">
        <v>55</v>
      </c>
      <c r="B71" s="36"/>
      <c r="C71" s="36"/>
      <c r="D71" s="36"/>
    </row>
    <row r="72" spans="1:4" x14ac:dyDescent="0.3">
      <c r="B72" s="35" t="s">
        <v>23</v>
      </c>
      <c r="C72" s="35"/>
      <c r="D72" s="35"/>
    </row>
    <row r="73" spans="1:4" x14ac:dyDescent="0.3">
      <c r="B73" s="7">
        <f>+B33</f>
        <v>2022</v>
      </c>
      <c r="C73" s="7">
        <f t="shared" ref="C73:D73" si="17">+C33</f>
        <v>2021</v>
      </c>
      <c r="D73" s="7">
        <f t="shared" si="17"/>
        <v>2020</v>
      </c>
    </row>
    <row r="75" spans="1:4" x14ac:dyDescent="0.3">
      <c r="A75" s="7" t="s">
        <v>56</v>
      </c>
      <c r="B75" s="15"/>
      <c r="C75" s="15"/>
      <c r="D75" s="15"/>
    </row>
    <row r="76" spans="1:4" x14ac:dyDescent="0.3">
      <c r="A76" t="s">
        <v>57</v>
      </c>
      <c r="B76" s="12">
        <f>+B22</f>
        <v>99803</v>
      </c>
      <c r="C76" s="12">
        <f t="shared" ref="C76:D76" si="18">+C22</f>
        <v>94680</v>
      </c>
      <c r="D76" s="12">
        <f t="shared" si="18"/>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6"/>
  <sheetViews>
    <sheetView tabSelected="1" topLeftCell="A15" workbookViewId="0">
      <selection activeCell="F2" sqref="F2"/>
    </sheetView>
  </sheetViews>
  <sheetFormatPr defaultColWidth="8.77734375" defaultRowHeight="14.4" x14ac:dyDescent="0.3"/>
  <cols>
    <col min="1" max="1" width="4.6640625" customWidth="1"/>
    <col min="2" max="2" width="44.77734375" customWidth="1"/>
    <col min="3" max="5" width="17.77734375" bestFit="1" customWidth="1"/>
    <col min="6" max="6" width="17.77734375" customWidth="1"/>
    <col min="7" max="7" width="24.44140625" customWidth="1"/>
    <col min="11" max="11" width="11.6640625" bestFit="1" customWidth="1"/>
  </cols>
  <sheetData>
    <row r="1" spans="1:11" ht="60" customHeight="1" x14ac:dyDescent="0.5">
      <c r="A1" s="6"/>
      <c r="B1" s="20" t="s">
        <v>0</v>
      </c>
      <c r="C1" s="19"/>
      <c r="D1" s="19"/>
      <c r="E1" s="19"/>
      <c r="F1" s="28" t="s">
        <v>193</v>
      </c>
      <c r="G1" s="28" t="s">
        <v>183</v>
      </c>
      <c r="H1" s="19"/>
      <c r="I1" s="19"/>
      <c r="J1" s="19"/>
      <c r="K1" s="19"/>
    </row>
    <row r="2" spans="1:11" x14ac:dyDescent="0.3">
      <c r="C2" s="35" t="s">
        <v>23</v>
      </c>
      <c r="D2" s="35"/>
      <c r="E2" s="35"/>
      <c r="F2" s="29"/>
    </row>
    <row r="3" spans="1:11" x14ac:dyDescent="0.3">
      <c r="C3" s="7">
        <f>+'Financial Statements'!B4</f>
        <v>2022</v>
      </c>
      <c r="D3" s="7">
        <f>+'Financial Statements'!C4</f>
        <v>2021</v>
      </c>
      <c r="E3" s="7">
        <f>+'Financial Statements'!D4</f>
        <v>2020</v>
      </c>
      <c r="F3" s="7"/>
    </row>
    <row r="4" spans="1:11" x14ac:dyDescent="0.3">
      <c r="A4" s="18">
        <v>1</v>
      </c>
      <c r="B4" s="7" t="s">
        <v>99</v>
      </c>
    </row>
    <row r="5" spans="1:11" x14ac:dyDescent="0.3">
      <c r="A5" s="18">
        <f>+A4+0.1</f>
        <v>1.1000000000000001</v>
      </c>
      <c r="B5" s="1" t="s">
        <v>100</v>
      </c>
      <c r="C5" s="23">
        <f>'Financial Statements'!B42/'Financial Statements'!B56</f>
        <v>0.87935602862672257</v>
      </c>
      <c r="D5" s="23">
        <f>'Financial Statements'!C42/'Financial Statements'!C56</f>
        <v>1.0745531195957954</v>
      </c>
      <c r="E5" s="23">
        <f>'Financial Statements'!D42/'Financial Statements'!D56</f>
        <v>1.3636044481554577</v>
      </c>
      <c r="F5" s="23"/>
      <c r="G5" t="s">
        <v>153</v>
      </c>
    </row>
    <row r="6" spans="1:11" x14ac:dyDescent="0.3">
      <c r="A6" s="18">
        <f t="shared" ref="A6:A13" si="0">+A5+0.1</f>
        <v>1.2000000000000002</v>
      </c>
      <c r="B6" s="1" t="s">
        <v>101</v>
      </c>
      <c r="C6" s="23">
        <f>('Financial Statements'!B42-'Financial Statements'!B39)/'Financial Statements'!B56</f>
        <v>0.84723539114961488</v>
      </c>
      <c r="D6" s="23">
        <f>('Financial Statements'!C42-'Financial Statements'!C39)/'Financial Statements'!C56</f>
        <v>1.0221149018576519</v>
      </c>
      <c r="E6" s="23">
        <f>('Financial Statements'!D42-'Financial Statements'!D39)/'Financial Statements'!D56</f>
        <v>1.325072111735236</v>
      </c>
      <c r="F6" s="23"/>
      <c r="G6" t="s">
        <v>154</v>
      </c>
    </row>
    <row r="7" spans="1:11" x14ac:dyDescent="0.3">
      <c r="A7" s="18">
        <f t="shared" si="0"/>
        <v>1.3000000000000003</v>
      </c>
      <c r="B7" s="1" t="s">
        <v>102</v>
      </c>
      <c r="C7" s="23">
        <f>'Financial Statements'!B36/'Financial Statements'!B56</f>
        <v>0.15356340351469652</v>
      </c>
      <c r="D7" s="23">
        <f>'Financial Statements'!C36/'Financial Statements'!C56</f>
        <v>0.27844853005634318</v>
      </c>
      <c r="E7" s="23">
        <f>'Financial Statements'!D36/'Financial Statements'!D56</f>
        <v>0.36071049035979963</v>
      </c>
      <c r="F7" s="23"/>
    </row>
    <row r="8" spans="1:11" x14ac:dyDescent="0.3">
      <c r="A8" s="18">
        <f t="shared" si="0"/>
        <v>1.4000000000000004</v>
      </c>
      <c r="B8" s="1" t="s">
        <v>103</v>
      </c>
      <c r="C8" s="23">
        <f>'Financial Statements'!B42/('Financial Statements'!B17-'Financial Statements'!B79/365)</f>
        <v>2.6387238297685816</v>
      </c>
      <c r="D8" s="23">
        <f>'Financial Statements'!C42/('Financial Statements'!C17-'Financial Statements'!C79/365)</f>
        <v>3.0745106456853804</v>
      </c>
      <c r="E8" s="23">
        <f>'Financial Statements'!D42/('Financial Statements'!D17-'Financial Statements'!D79/365)</f>
        <v>3.7195010141274438</v>
      </c>
      <c r="F8" s="23"/>
      <c r="G8" t="s">
        <v>155</v>
      </c>
    </row>
    <row r="9" spans="1:11" x14ac:dyDescent="0.3">
      <c r="A9" s="18">
        <f t="shared" si="0"/>
        <v>1.5000000000000004</v>
      </c>
      <c r="B9" s="1" t="s">
        <v>104</v>
      </c>
      <c r="C9" s="23">
        <f>('Financial Statements'!B39/'Financial Statements'!B12)*365</f>
        <v>8.0756980666171607</v>
      </c>
      <c r="D9" s="23">
        <f>('Financial Statements'!C39/'Financial Statements'!C12)*365</f>
        <v>11.27659274770989</v>
      </c>
      <c r="E9" s="23">
        <f>('Financial Statements'!D39/'Financial Statements'!D12)*365</f>
        <v>8.7418833562358831</v>
      </c>
      <c r="F9" s="23"/>
    </row>
    <row r="10" spans="1:11" x14ac:dyDescent="0.3">
      <c r="A10" s="18">
        <f t="shared" si="0"/>
        <v>1.6000000000000005</v>
      </c>
      <c r="B10" s="1" t="s">
        <v>105</v>
      </c>
      <c r="C10" s="23">
        <f>('Financial Statements'!B51/'Financial Statements'!B12)*365</f>
        <v>104.68527730310539</v>
      </c>
      <c r="D10" s="23">
        <f>'Financial Statements'!C51*(365/'Financial Statements'!C12)</f>
        <v>93.851071222315596</v>
      </c>
      <c r="E10" s="23">
        <f>'Financial Statements'!D51*(365/'Financial Statements'!D12)</f>
        <v>91.048189715674184</v>
      </c>
      <c r="F10" s="23"/>
    </row>
    <row r="11" spans="1:11" x14ac:dyDescent="0.3">
      <c r="A11" s="18">
        <f t="shared" si="0"/>
        <v>1.7000000000000006</v>
      </c>
      <c r="B11" s="1" t="s">
        <v>106</v>
      </c>
      <c r="C11" s="23">
        <f>('Financial Statements'!B38/'Financial Statements'!B8)*365</f>
        <v>26.087825363656648</v>
      </c>
      <c r="D11" s="23">
        <f>('Financial Statements'!C38/'Financial Statements'!C8)*365</f>
        <v>26.219311841713207</v>
      </c>
      <c r="E11" s="23">
        <f>('Financial Statements'!D38/'Financial Statements'!D8)*365</f>
        <v>21.433437152796749</v>
      </c>
      <c r="F11" s="23"/>
    </row>
    <row r="12" spans="1:11" x14ac:dyDescent="0.3">
      <c r="A12" s="18">
        <f t="shared" si="0"/>
        <v>1.8000000000000007</v>
      </c>
      <c r="B12" s="1" t="s">
        <v>107</v>
      </c>
      <c r="C12" s="23">
        <f>C11+C9-C10</f>
        <v>-70.521753872831582</v>
      </c>
      <c r="D12" s="23">
        <f>D11+D9-D10</f>
        <v>-56.355166632892498</v>
      </c>
      <c r="E12" s="23">
        <f>E11+E9-E10</f>
        <v>-60.872869206641553</v>
      </c>
      <c r="F12" s="23"/>
    </row>
    <row r="13" spans="1:11" x14ac:dyDescent="0.3">
      <c r="A13" s="18">
        <f t="shared" si="0"/>
        <v>1.9000000000000008</v>
      </c>
      <c r="B13" s="1" t="s">
        <v>108</v>
      </c>
      <c r="C13" s="23">
        <f>'Financial Statements'!B8/('Financial Statements'!B38+'Financial Statements'!B39-'Financial Statements'!B51)</f>
        <v>-12.726416007745684</v>
      </c>
      <c r="D13" s="23">
        <f>'Financial Statements'!C8/('Financial Statements'!C38+'Financial Statements'!C39-'Financial Statements'!C51)</f>
        <v>-16.700159780871946</v>
      </c>
      <c r="E13" s="23">
        <f>'Financial Statements'!D8/('Financial Statements'!D38+'Financial Statements'!D39-'Financial Statements'!D51)</f>
        <v>-12.413068053357449</v>
      </c>
      <c r="F13" s="23"/>
    </row>
    <row r="14" spans="1:11" x14ac:dyDescent="0.3">
      <c r="A14" s="18"/>
      <c r="B14" s="3" t="s">
        <v>109</v>
      </c>
      <c r="C14">
        <f>'Financial Statements'!B42-'Financial Statements'!B56</f>
        <v>-18577</v>
      </c>
      <c r="D14">
        <f>'Financial Statements'!C42-'Financial Statements'!C56</f>
        <v>9355</v>
      </c>
      <c r="E14">
        <f>'Financial Statements'!D42-'Financial Statements'!D56</f>
        <v>38321</v>
      </c>
    </row>
    <row r="15" spans="1:11" x14ac:dyDescent="0.3">
      <c r="A15" s="18"/>
    </row>
    <row r="16" spans="1:11" x14ac:dyDescent="0.3">
      <c r="A16" s="18">
        <f>+A4+1</f>
        <v>2</v>
      </c>
      <c r="B16" s="17" t="s">
        <v>110</v>
      </c>
    </row>
    <row r="17" spans="1:10" x14ac:dyDescent="0.3">
      <c r="A17" s="18">
        <f>+A16+0.1</f>
        <v>2.1</v>
      </c>
      <c r="B17" s="1" t="s">
        <v>9</v>
      </c>
      <c r="C17" s="25">
        <f>'Financial Statements'!B13/'Financial Statements'!B8</f>
        <v>0.43309630561360085</v>
      </c>
      <c r="D17" s="25">
        <f>'Financial Statements'!C13/'Financial Statements'!C8</f>
        <v>0.41779359625167778</v>
      </c>
      <c r="E17" s="25">
        <f>'Financial Statements'!D13/'Financial Statements'!D8</f>
        <v>0.38233247727810865</v>
      </c>
      <c r="F17" s="25"/>
    </row>
    <row r="18" spans="1:10" x14ac:dyDescent="0.3">
      <c r="A18" s="18">
        <f>+A17+0.1</f>
        <v>2.2000000000000002</v>
      </c>
      <c r="B18" s="1" t="s">
        <v>111</v>
      </c>
      <c r="C18" s="25">
        <f>'Financial Statements'!B20/'Financial Statements'!B8</f>
        <v>0.30204043334482966</v>
      </c>
      <c r="D18" s="25">
        <f>'Financial Statements'!C20/'Financial Statements'!C8</f>
        <v>0.29852904594373691</v>
      </c>
      <c r="E18" s="25">
        <f>'Financial Statements'!D20/'Financial Statements'!D8</f>
        <v>0.24439830246070343</v>
      </c>
      <c r="F18" s="25"/>
    </row>
    <row r="19" spans="1:10" x14ac:dyDescent="0.3">
      <c r="A19" s="18"/>
      <c r="B19" s="3" t="s">
        <v>112</v>
      </c>
      <c r="C19" s="12">
        <f>'Financial Statements'!B18+'Financial Statements'!B79</f>
        <v>130541</v>
      </c>
      <c r="D19" s="12">
        <f>'Financial Statements'!C18+'Financial Statements'!C79</f>
        <v>120233</v>
      </c>
      <c r="E19" s="12">
        <f>'Financial Statements'!D18+'Financial Statements'!D79</f>
        <v>77344</v>
      </c>
      <c r="F19" s="12"/>
      <c r="G19" t="s">
        <v>156</v>
      </c>
    </row>
    <row r="20" spans="1:10" x14ac:dyDescent="0.3">
      <c r="A20" s="18">
        <f>+A18+0.1</f>
        <v>2.3000000000000003</v>
      </c>
      <c r="B20" s="1" t="s">
        <v>113</v>
      </c>
      <c r="C20" s="25">
        <f>'Financial Statements'!B18/'Financial Statements'!B8</f>
        <v>0.30288744395528594</v>
      </c>
      <c r="D20" s="25">
        <f>'Financial Statements'!C18/'Financial Statements'!C8</f>
        <v>0.29782377527561593</v>
      </c>
      <c r="E20" s="25">
        <f>'Financial Statements'!D18/'Financial Statements'!D8</f>
        <v>0.24147314354406862</v>
      </c>
      <c r="F20" s="25"/>
    </row>
    <row r="21" spans="1:10" x14ac:dyDescent="0.3">
      <c r="A21" s="18"/>
      <c r="B21" s="3" t="s">
        <v>114</v>
      </c>
      <c r="C21" s="12">
        <f>'Financial Statements'!B18</f>
        <v>119437</v>
      </c>
      <c r="D21" s="12">
        <f>'Financial Statements'!C18</f>
        <v>108949</v>
      </c>
      <c r="E21" s="12">
        <f>'Financial Statements'!D18</f>
        <v>66288</v>
      </c>
      <c r="F21" s="12"/>
    </row>
    <row r="22" spans="1:10" x14ac:dyDescent="0.3">
      <c r="A22" s="18">
        <f>+A20+0.1</f>
        <v>2.4000000000000004</v>
      </c>
      <c r="B22" s="1" t="s">
        <v>115</v>
      </c>
      <c r="C22" s="25">
        <f>'Financial Statements'!B22/'Financial Statements'!B8</f>
        <v>0.25309640705199732</v>
      </c>
      <c r="D22" s="25">
        <f>'Financial Statements'!C22/'Financial Statements'!C8</f>
        <v>0.25881793355694238</v>
      </c>
      <c r="E22" s="25">
        <f>'Financial Statements'!D22/'Financial Statements'!D8</f>
        <v>0.20913611278072236</v>
      </c>
      <c r="F22" s="25"/>
      <c r="J22" t="s">
        <v>149</v>
      </c>
    </row>
    <row r="23" spans="1:10" x14ac:dyDescent="0.3">
      <c r="A23" s="18"/>
    </row>
    <row r="24" spans="1:10" x14ac:dyDescent="0.3">
      <c r="A24" s="18">
        <f>+A16+1</f>
        <v>3</v>
      </c>
      <c r="B24" s="7" t="s">
        <v>116</v>
      </c>
    </row>
    <row r="25" spans="1:10" x14ac:dyDescent="0.3">
      <c r="A25" s="18">
        <f>+A24+0.1</f>
        <v>3.1</v>
      </c>
      <c r="B25" s="1" t="s">
        <v>117</v>
      </c>
      <c r="C25" s="23">
        <f>'Financial Statements'!B68/'Financial Statements'!B59</f>
        <v>0.51205044513384335</v>
      </c>
      <c r="D25" s="23">
        <f>'Financial Statements'!C68/'Financial Statements'!C59</f>
        <v>0.57824500944036072</v>
      </c>
      <c r="E25" s="23">
        <f>'Financial Statements'!D68/'Financial Statements'!D59</f>
        <v>0.66221735737379261</v>
      </c>
      <c r="F25" s="23"/>
      <c r="G25" t="s">
        <v>157</v>
      </c>
      <c r="H25" t="s">
        <v>184</v>
      </c>
    </row>
    <row r="26" spans="1:10" x14ac:dyDescent="0.3">
      <c r="A26" s="18">
        <f t="shared" ref="A26:A30" si="1">+A25+0.1</f>
        <v>3.2</v>
      </c>
      <c r="B26" s="1" t="s">
        <v>118</v>
      </c>
      <c r="C26" s="23">
        <f>'Financial Statements'!B59/'Financial Statements'!B48</f>
        <v>0.28053181386514719</v>
      </c>
      <c r="D26" s="23">
        <f>'Financial Statements'!C59/'Financial Statements'!C48</f>
        <v>0.31084153366647482</v>
      </c>
      <c r="E26" s="23">
        <f>'Financial Statements'!D59/'Financial Statements'!D48</f>
        <v>0.30463308304105124</v>
      </c>
      <c r="F26" s="23"/>
      <c r="G26" t="s">
        <v>157</v>
      </c>
      <c r="H26" t="s">
        <v>184</v>
      </c>
    </row>
    <row r="27" spans="1:10" x14ac:dyDescent="0.3">
      <c r="A27" s="18">
        <f t="shared" si="1"/>
        <v>3.3000000000000003</v>
      </c>
      <c r="B27" s="1" t="s">
        <v>119</v>
      </c>
      <c r="C27" s="23">
        <f>'Financial Statements'!B59/('Financial Statements'!B59+'Financial Statements'!B68)</f>
        <v>0.66135359651409131</v>
      </c>
      <c r="D27" s="23">
        <f>'Financial Statements'!C59/('Financial Statements'!C59+'Financial Statements'!C68)</f>
        <v>0.63361518269878514</v>
      </c>
      <c r="E27" s="23">
        <f>'Financial Statements'!D59/('Financial Statements'!D59+'Financial Statements'!D68)</f>
        <v>0.60160603880345842</v>
      </c>
      <c r="F27" s="23"/>
      <c r="G27" t="s">
        <v>158</v>
      </c>
      <c r="H27" t="s">
        <v>185</v>
      </c>
    </row>
    <row r="28" spans="1:10" x14ac:dyDescent="0.3">
      <c r="A28" s="18">
        <f t="shared" si="1"/>
        <v>3.4000000000000004</v>
      </c>
      <c r="B28" s="1" t="s">
        <v>120</v>
      </c>
      <c r="C28" s="23">
        <f>'Financial Statements'!B18/'Financial Statements'!B114</f>
        <v>41.68830715532286</v>
      </c>
      <c r="D28" s="23">
        <f>'Financial Statements'!C18/'Financial Statements'!C114</f>
        <v>40.546706363974693</v>
      </c>
      <c r="E28" s="23">
        <f>'Financial Statements'!D18/'Financial Statements'!D114</f>
        <v>22.081279147235175</v>
      </c>
      <c r="F28" s="23"/>
    </row>
    <row r="29" spans="1:10" x14ac:dyDescent="0.3">
      <c r="A29" s="18">
        <f t="shared" si="1"/>
        <v>3.5000000000000004</v>
      </c>
      <c r="B29" s="1" t="s">
        <v>121</v>
      </c>
      <c r="C29" s="23">
        <f>('Financial Statements'!B18)/('Financial Statements'!B114+9543)</f>
        <v>9.6258059316569948</v>
      </c>
      <c r="D29" s="23">
        <f>'Financial Statements'!C20/('Financial Statements'!C114+8750)</f>
        <v>9.5485704293083842</v>
      </c>
      <c r="E29" s="23">
        <f>'Financial Statements'!D20/('Financial Statements'!D114+12629)</f>
        <v>4.2921758044910758</v>
      </c>
      <c r="F29" s="23" t="s">
        <v>188</v>
      </c>
      <c r="G29" t="s">
        <v>159</v>
      </c>
      <c r="H29" t="s">
        <v>184</v>
      </c>
    </row>
    <row r="30" spans="1:10" x14ac:dyDescent="0.3">
      <c r="A30" s="18">
        <f t="shared" si="1"/>
        <v>3.6000000000000005</v>
      </c>
      <c r="B30" s="1" t="s">
        <v>122</v>
      </c>
      <c r="C30" s="30">
        <f>C31/'Financial Statements'!B28</f>
        <v>1.5942232362125294E-3</v>
      </c>
      <c r="D30" s="30">
        <f>D31/'Financial Statements'!C28</f>
        <v>6.0065512321760925E-4</v>
      </c>
      <c r="E30" s="30">
        <f>E31/'Financial Statements'!D28</f>
        <v>2.3904317918528381E-4</v>
      </c>
      <c r="F30" s="30" t="s">
        <v>190</v>
      </c>
      <c r="G30" t="s">
        <v>161</v>
      </c>
      <c r="H30" t="s">
        <v>184</v>
      </c>
    </row>
    <row r="31" spans="1:10" x14ac:dyDescent="0.3">
      <c r="A31" s="18"/>
      <c r="B31" s="3" t="s">
        <v>123</v>
      </c>
      <c r="C31">
        <f>'Financial Statements'!B91+'Financial Statements'!B96+'Financial Statements'!B97+('Financial Statements'!B110-'Financial Statements'!B55-'Financial Statements'!B59)</f>
        <v>26027</v>
      </c>
      <c r="D31">
        <f>'Financial Statements'!C91+'Financial Statements'!C96+'Financial Statements'!C97+('Financial Statements'!C110-'Financial Statements'!C55-'Financial Statements'!C59)</f>
        <v>10130</v>
      </c>
      <c r="E31">
        <f>'Financial Statements'!D91+'Financial Statements'!D96+'Financial Statements'!D97+('Financial Statements'!D110-'Financial Statements'!D55-'Financial Statements'!D59)</f>
        <v>4190</v>
      </c>
      <c r="F31" t="s">
        <v>189</v>
      </c>
      <c r="G31" t="s">
        <v>160</v>
      </c>
      <c r="H31" t="s">
        <v>184</v>
      </c>
    </row>
    <row r="32" spans="1:10" x14ac:dyDescent="0.3">
      <c r="A32" s="18"/>
    </row>
    <row r="33" spans="1:8" x14ac:dyDescent="0.3">
      <c r="A33" s="18">
        <f>+A24+1</f>
        <v>4</v>
      </c>
      <c r="B33" s="17" t="s">
        <v>124</v>
      </c>
    </row>
    <row r="34" spans="1:8" x14ac:dyDescent="0.3">
      <c r="A34" s="18">
        <f>+A33+0.1</f>
        <v>4.0999999999999996</v>
      </c>
      <c r="B34" s="1" t="s">
        <v>125</v>
      </c>
      <c r="C34" s="23">
        <f>'Financial Statements'!B8/('Financial Statements'!B48)*100</f>
        <v>111.78523337727317</v>
      </c>
      <c r="D34" s="23">
        <f>'Financial Statements'!C8/('Financial Statements'!C48)*100</f>
        <v>104.22077367080529</v>
      </c>
      <c r="E34" s="23">
        <f>('Financial Statements'!D8/'Financial Statements'!D48)*100</f>
        <v>84.756150274168846</v>
      </c>
      <c r="F34" s="23"/>
      <c r="G34" t="s">
        <v>162</v>
      </c>
      <c r="H34" t="s">
        <v>184</v>
      </c>
    </row>
    <row r="35" spans="1:8" x14ac:dyDescent="0.3">
      <c r="A35" s="18">
        <f t="shared" ref="A35:A37" si="2">+A34+0.1</f>
        <v>4.1999999999999993</v>
      </c>
      <c r="B35" s="1" t="s">
        <v>126</v>
      </c>
      <c r="C35" s="23">
        <f>'Financial Statements'!B8/'Financial Statements'!B47</f>
        <v>1.8142535081665516</v>
      </c>
      <c r="D35" s="23">
        <f>'Financial Statements'!C8/'Financial Statements'!C47</f>
        <v>1.6922966608994938</v>
      </c>
      <c r="E35" s="23">
        <f>'Financial Statements'!D8/'Financial Statements'!D47</f>
        <v>1.5236020535590398</v>
      </c>
      <c r="F35" s="23"/>
    </row>
    <row r="36" spans="1:8" x14ac:dyDescent="0.3">
      <c r="A36" s="18">
        <f t="shared" si="2"/>
        <v>4.2999999999999989</v>
      </c>
      <c r="B36" s="1" t="s">
        <v>127</v>
      </c>
      <c r="C36" s="23">
        <f>'Financial Statements'!B12/'Financial Statements'!B39</f>
        <v>45.197331176708452</v>
      </c>
      <c r="D36" s="23">
        <f>'Financial Statements'!C12/'Financial Statements'!C39</f>
        <v>32.367933130699086</v>
      </c>
      <c r="E36" s="23">
        <f>'Financial Statements'!D12/'Financial Statements'!D39</f>
        <v>41.753016498399411</v>
      </c>
      <c r="F36" s="23"/>
    </row>
    <row r="37" spans="1:8" x14ac:dyDescent="0.3">
      <c r="A37" s="18">
        <f t="shared" si="2"/>
        <v>4.3999999999999986</v>
      </c>
      <c r="B37" s="1" t="s">
        <v>128</v>
      </c>
      <c r="C37" s="23">
        <f>'Financial Statements'!B22/'Financial Statements'!B48</f>
        <v>0.28292440929256851</v>
      </c>
      <c r="D37" s="23">
        <f>'Financial Statements'!C22/'Financial Statements'!C48</f>
        <v>0.26974205275183616</v>
      </c>
      <c r="E37" s="23">
        <f>'Financial Statements'!D22/'Financial Statements'!D48</f>
        <v>0.1772557180259843</v>
      </c>
      <c r="F37" s="23"/>
    </row>
    <row r="38" spans="1:8" x14ac:dyDescent="0.3">
      <c r="A38" s="18"/>
    </row>
    <row r="39" spans="1:8" x14ac:dyDescent="0.3">
      <c r="A39" s="18">
        <f>+A33+1</f>
        <v>5</v>
      </c>
      <c r="B39" s="17" t="s">
        <v>129</v>
      </c>
    </row>
    <row r="40" spans="1:8" x14ac:dyDescent="0.3">
      <c r="A40" s="18">
        <f>+A39+0.1</f>
        <v>5.0999999999999996</v>
      </c>
      <c r="B40" s="1" t="s">
        <v>130</v>
      </c>
      <c r="C40" s="23">
        <f>129/'Financial Statements'!B24</f>
        <v>20.975609756097558</v>
      </c>
      <c r="D40" s="23">
        <f>131/'Financial Statements'!C24</f>
        <v>23.104056437389772</v>
      </c>
      <c r="E40" s="23">
        <f>74/'Financial Statements'!D24</f>
        <v>22.356495468277945</v>
      </c>
      <c r="F40" s="23"/>
    </row>
    <row r="41" spans="1:8" x14ac:dyDescent="0.3">
      <c r="A41" s="18">
        <f t="shared" ref="A41:A44" si="3">+A40+0.1</f>
        <v>5.1999999999999993</v>
      </c>
      <c r="B41" s="3" t="s">
        <v>131</v>
      </c>
      <c r="C41" s="23">
        <f>'Financial Statements'!B22/'Financial Statements'!B28</f>
        <v>6.1132002014722816E-3</v>
      </c>
      <c r="D41" s="23">
        <f>'Financial Statements'!C22/'Financial Statements'!C28</f>
        <v>5.614020440892719E-3</v>
      </c>
      <c r="E41" s="23">
        <f>'Financial Statements'!D22/'Financial Statements'!D28</f>
        <v>3.2753479618630853E-3</v>
      </c>
      <c r="F41" s="30" t="s">
        <v>190</v>
      </c>
      <c r="G41" t="s">
        <v>163</v>
      </c>
      <c r="H41" t="s">
        <v>184</v>
      </c>
    </row>
    <row r="42" spans="1:8" x14ac:dyDescent="0.3">
      <c r="A42" s="18">
        <f t="shared" si="3"/>
        <v>5.2999999999999989</v>
      </c>
      <c r="B42" s="1" t="s">
        <v>132</v>
      </c>
      <c r="C42" s="23">
        <f>('List of Ratios'!C40*'Financial Statements'!B25)/C43</f>
        <v>41.291697400305743</v>
      </c>
      <c r="D42" s="23">
        <f>(D40*'Financial Statements'!C25)/'List of Ratios'!D43</f>
        <v>34.647733500978283</v>
      </c>
      <c r="E42" s="23">
        <f>('List of Ratios'!E40*'Financial Statements'!D25)/'List of Ratios'!E43</f>
        <v>19.671738975103072</v>
      </c>
      <c r="F42" s="23"/>
      <c r="G42" t="s">
        <v>164</v>
      </c>
      <c r="H42" t="s">
        <v>184</v>
      </c>
    </row>
    <row r="43" spans="1:8" x14ac:dyDescent="0.3">
      <c r="A43" s="18">
        <f t="shared" si="3"/>
        <v>5.3999999999999986</v>
      </c>
      <c r="B43" s="3" t="s">
        <v>133</v>
      </c>
      <c r="C43" s="23">
        <f>50672000/'Financial Statements'!B28</f>
        <v>3.1037952827971447</v>
      </c>
      <c r="D43" s="23">
        <f>63090000/'Financial Statements'!C28</f>
        <v>3.740901453484597</v>
      </c>
      <c r="E43" s="23">
        <f>65339000/'Financial Statements'!D28</f>
        <v>3.7276473233382479</v>
      </c>
      <c r="F43" s="23" t="s">
        <v>191</v>
      </c>
      <c r="G43" t="s">
        <v>165</v>
      </c>
      <c r="H43" t="s">
        <v>185</v>
      </c>
    </row>
    <row r="44" spans="1:8" x14ac:dyDescent="0.3">
      <c r="A44" s="18">
        <f t="shared" si="3"/>
        <v>5.4999999999999982</v>
      </c>
      <c r="B44" s="1" t="s">
        <v>134</v>
      </c>
      <c r="C44" s="23">
        <f>C45/C41</f>
        <v>148.70294480125847</v>
      </c>
      <c r="D44" s="23">
        <f>D45/D41</f>
        <v>152.79890156316014</v>
      </c>
      <c r="E44" s="23">
        <f>E45/E41</f>
        <v>245.26658654264864</v>
      </c>
      <c r="F44" s="23"/>
      <c r="G44" t="s">
        <v>167</v>
      </c>
      <c r="H44" t="s">
        <v>184</v>
      </c>
    </row>
    <row r="45" spans="1:8" x14ac:dyDescent="0.3">
      <c r="A45" s="18"/>
      <c r="B45" s="3" t="s">
        <v>135</v>
      </c>
      <c r="C45" s="23">
        <f>14841000/'Financial Statements'!B28</f>
        <v>0.90905087211857483</v>
      </c>
      <c r="D45" s="23">
        <f>14467000/'Financial Statements'!C28</f>
        <v>0.85781615672153544</v>
      </c>
      <c r="E45" s="23">
        <f>14081000/'Financial Statements'!D28</f>
        <v>0.80333341434558025</v>
      </c>
      <c r="F45" s="23" t="s">
        <v>192</v>
      </c>
      <c r="G45" t="s">
        <v>166</v>
      </c>
      <c r="H45" t="s">
        <v>185</v>
      </c>
    </row>
    <row r="46" spans="1:8" x14ac:dyDescent="0.3">
      <c r="A46" s="18">
        <f>+A44+0.1</f>
        <v>5.5999999999999979</v>
      </c>
      <c r="B46" s="1" t="s">
        <v>136</v>
      </c>
      <c r="C46" s="23">
        <f>C45/('List of Ratios'!C40*'List of Ratios'!C41)</f>
        <v>7.0893264381995325</v>
      </c>
      <c r="D46" s="23">
        <f>D45/(D40*D41)</f>
        <v>6.6135097088787633</v>
      </c>
      <c r="E46" s="23">
        <f>E45/(E40*E41)</f>
        <v>10.970708127786041</v>
      </c>
      <c r="F46" s="23"/>
      <c r="G46" t="s">
        <v>169</v>
      </c>
      <c r="H46" t="s">
        <v>184</v>
      </c>
    </row>
    <row r="47" spans="1:8" x14ac:dyDescent="0.3">
      <c r="A47" s="18">
        <f t="shared" ref="A47:A50" si="4">+A45+0.1</f>
        <v>0.1</v>
      </c>
      <c r="B47" s="1" t="s">
        <v>137</v>
      </c>
      <c r="C47" s="23">
        <f>'Financial Statements'!B22/'Financial Statements'!B68</f>
        <v>1.9695887275023682</v>
      </c>
      <c r="D47" s="23">
        <f>'Financial Statements'!C22/'Financial Statements'!C68</f>
        <v>1.5007132667617689</v>
      </c>
      <c r="E47" s="23">
        <f>'Financial Statements'!D22/'Financial Statements'!D68</f>
        <v>0.87866358530127486</v>
      </c>
      <c r="F47" s="23"/>
    </row>
    <row r="48" spans="1:8" x14ac:dyDescent="0.3">
      <c r="A48" s="18">
        <f t="shared" si="4"/>
        <v>5.6999999999999975</v>
      </c>
      <c r="B48" s="1" t="s">
        <v>138</v>
      </c>
      <c r="C48" s="23">
        <f>'Financial Statements'!B20/('Financial Statements'!B68+'Financial Statements'!B59)</f>
        <v>0.79597810614110709</v>
      </c>
      <c r="D48" s="23">
        <f>'Financial Statements'!C20/('Financial Statements'!C68+'Financial Statements'!C59)</f>
        <v>0.63420172361727334</v>
      </c>
      <c r="E48" s="23">
        <f>'Financial Statements'!D20/('Financial Statements'!D68+'Financial Statements'!D59)</f>
        <v>0.40907649720132189</v>
      </c>
      <c r="F48" s="23"/>
      <c r="G48" t="s">
        <v>168</v>
      </c>
      <c r="H48" t="s">
        <v>184</v>
      </c>
    </row>
    <row r="49" spans="1:8" x14ac:dyDescent="0.3">
      <c r="A49" s="18">
        <f t="shared" si="4"/>
        <v>0.2</v>
      </c>
      <c r="B49" s="1" t="s">
        <v>128</v>
      </c>
      <c r="C49" s="23">
        <f>'Financial Statements'!B22/'Financial Statements'!B48</f>
        <v>0.28292440929256851</v>
      </c>
      <c r="D49" s="23">
        <f>'Financial Statements'!C22/'Financial Statements'!C48</f>
        <v>0.26974205275183616</v>
      </c>
      <c r="E49" s="23">
        <f>'Financial Statements'!D22/'Financial Statements'!D48</f>
        <v>0.1772557180259843</v>
      </c>
      <c r="F49" s="23"/>
    </row>
    <row r="50" spans="1:8" x14ac:dyDescent="0.3">
      <c r="A50" s="18">
        <f t="shared" si="4"/>
        <v>5.7999999999999972</v>
      </c>
      <c r="B50" s="1" t="s">
        <v>139</v>
      </c>
      <c r="C50" s="32">
        <f>C51/C19</f>
        <v>5.3227172214093654</v>
      </c>
      <c r="D50" s="32">
        <f>D51/D19</f>
        <v>5.8182302827923147</v>
      </c>
      <c r="E50" s="32">
        <f>E51/E19</f>
        <v>5.3764517638165463</v>
      </c>
      <c r="F50" s="32"/>
      <c r="G50" t="s">
        <v>170</v>
      </c>
      <c r="H50" t="s">
        <v>184</v>
      </c>
    </row>
    <row r="51" spans="1:8" x14ac:dyDescent="0.3">
      <c r="A51" s="18"/>
      <c r="B51" s="3" t="s">
        <v>140</v>
      </c>
      <c r="C51" s="23">
        <f>C53+'Financial Statements'!B55+'Financial Statements'!B59-'Financial Statements'!B110</f>
        <v>694832.82880000002</v>
      </c>
      <c r="D51" s="23">
        <f>D52+'Financial Statements'!C59+'Financial Statements'!C55-'Financial Statements'!C110</f>
        <v>699543.28159096837</v>
      </c>
      <c r="E51" s="23">
        <f>E52+'Financial Statements'!D59+'Financial Statements'!D55-'Financial Statements'!D110</f>
        <v>415836.28522062697</v>
      </c>
      <c r="F51" s="23"/>
      <c r="G51" t="s">
        <v>171</v>
      </c>
      <c r="H51" t="s">
        <v>185</v>
      </c>
    </row>
    <row r="52" spans="1:8" x14ac:dyDescent="0.3">
      <c r="B52" s="1"/>
      <c r="D52">
        <f>(D40*D41)*4754986</f>
        <v>616753.28159096837</v>
      </c>
      <c r="E52">
        <f>(E40*E41)*4754986</f>
        <v>348185.28522062697</v>
      </c>
    </row>
    <row r="53" spans="1:8" x14ac:dyDescent="0.3">
      <c r="C53">
        <v>609722.82880000002</v>
      </c>
    </row>
    <row r="54" spans="1:8" x14ac:dyDescent="0.3">
      <c r="B54" t="s">
        <v>150</v>
      </c>
      <c r="C54" s="24">
        <f>('Financial Statements'!B8-'Financial Statements'!C8)/'Financial Statements'!C8*100</f>
        <v>7.7937876041846055</v>
      </c>
      <c r="D54" s="24">
        <f>('Financial Statements'!C8-'Financial Statements'!D8)/'Financial Statements'!D8*100</f>
        <v>33.25938473307469</v>
      </c>
      <c r="E54" s="24">
        <f>('Financial Statements'!D13/'Financial Statements'!D8)*100</f>
        <v>38.233247727810863</v>
      </c>
      <c r="F54" s="24"/>
      <c r="G54" t="s">
        <v>182</v>
      </c>
    </row>
    <row r="55" spans="1:8" x14ac:dyDescent="0.3">
      <c r="B55" t="s">
        <v>151</v>
      </c>
    </row>
    <row r="56" spans="1:8" x14ac:dyDescent="0.3">
      <c r="C56" s="38" t="s">
        <v>172</v>
      </c>
      <c r="D56" s="38"/>
      <c r="E56" s="38"/>
      <c r="F56" s="38"/>
      <c r="G56" s="38"/>
    </row>
    <row r="57" spans="1:8" x14ac:dyDescent="0.3">
      <c r="B57" s="35" t="s">
        <v>173</v>
      </c>
      <c r="C57" s="35"/>
      <c r="D57" s="35"/>
      <c r="E57" s="35"/>
      <c r="F57" s="35"/>
      <c r="G57" s="35"/>
      <c r="H57" s="35"/>
    </row>
    <row r="58" spans="1:8" x14ac:dyDescent="0.3">
      <c r="B58" s="18">
        <v>1</v>
      </c>
      <c r="C58" s="7" t="s">
        <v>174</v>
      </c>
      <c r="D58" s="31"/>
    </row>
    <row r="59" spans="1:8" x14ac:dyDescent="0.3">
      <c r="B59">
        <v>1.1000000000000001</v>
      </c>
      <c r="C59" s="27" t="s">
        <v>4</v>
      </c>
      <c r="D59" s="33">
        <f>('Financial Statements'!B6-'Financial Statements'!D6)/'Financial Statements'!D6</f>
        <v>0.43240451738868479</v>
      </c>
      <c r="E59" s="23"/>
      <c r="F59" s="23"/>
      <c r="G59" s="26"/>
      <c r="H59" s="26"/>
    </row>
    <row r="60" spans="1:8" x14ac:dyDescent="0.3">
      <c r="B60">
        <v>1.2</v>
      </c>
      <c r="C60" s="27" t="s">
        <v>5</v>
      </c>
      <c r="D60" s="33">
        <f>('Financial Statements'!B7-'Financial Statements'!D7)/'Financial Statements'!D7</f>
        <v>0.45307617914000892</v>
      </c>
      <c r="E60" s="18"/>
      <c r="F60" s="18"/>
      <c r="G60" s="26"/>
      <c r="H60" s="26"/>
    </row>
    <row r="61" spans="1:8" x14ac:dyDescent="0.3">
      <c r="B61">
        <v>1.3</v>
      </c>
      <c r="C61" s="27" t="s">
        <v>6</v>
      </c>
      <c r="D61" s="33">
        <f>('Financial Statements'!B8-'Financial Statements'!D8)/'Financial Statements'!D8</f>
        <v>0.43645338141813744</v>
      </c>
      <c r="E61" s="23"/>
      <c r="F61" s="23"/>
      <c r="G61" s="26"/>
      <c r="H61" s="26"/>
    </row>
    <row r="62" spans="1:8" x14ac:dyDescent="0.3">
      <c r="D62" s="34"/>
      <c r="G62" s="26"/>
      <c r="H62" s="26"/>
    </row>
    <row r="63" spans="1:8" x14ac:dyDescent="0.3">
      <c r="B63" s="18">
        <v>2</v>
      </c>
      <c r="C63" s="17" t="s">
        <v>175</v>
      </c>
      <c r="D63" s="33">
        <f>('Financial Statements'!B13-'Financial Statements'!D13)/'Financial Statements'!D13</f>
        <v>0.62717710278592931</v>
      </c>
      <c r="E63" s="23"/>
      <c r="F63" s="23"/>
      <c r="G63" s="26"/>
      <c r="H63" s="26"/>
    </row>
    <row r="64" spans="1:8" x14ac:dyDescent="0.3">
      <c r="B64" s="18"/>
      <c r="G64" s="26"/>
      <c r="H64" s="26"/>
    </row>
    <row r="65" spans="2:8" x14ac:dyDescent="0.3">
      <c r="B65" s="18">
        <v>3</v>
      </c>
      <c r="C65" s="17" t="s">
        <v>176</v>
      </c>
      <c r="G65" s="26"/>
      <c r="H65" s="26"/>
    </row>
    <row r="66" spans="2:8" x14ac:dyDescent="0.3">
      <c r="B66" s="18">
        <v>3.1</v>
      </c>
      <c r="C66" s="27" t="s">
        <v>11</v>
      </c>
      <c r="D66" s="33">
        <f>('Financial Statements'!B15-'Financial Statements'!D15)/'Financial Statements'!D15</f>
        <v>0.39990401023890787</v>
      </c>
      <c r="E66" s="23"/>
      <c r="F66" s="23"/>
      <c r="G66" s="26"/>
      <c r="H66" s="26"/>
    </row>
    <row r="67" spans="2:8" x14ac:dyDescent="0.3">
      <c r="B67" s="18">
        <v>3.2</v>
      </c>
      <c r="C67" s="27" t="s">
        <v>12</v>
      </c>
      <c r="D67" s="33">
        <f>('Financial Statements'!B16-'Financial Statements'!D16)/'Financial Statements'!D16</f>
        <v>0.2599919662582848</v>
      </c>
      <c r="E67" s="23"/>
      <c r="F67" s="23"/>
      <c r="G67" s="26"/>
      <c r="H67" s="26"/>
    </row>
    <row r="68" spans="2:8" x14ac:dyDescent="0.3">
      <c r="B68" s="18">
        <v>3.3</v>
      </c>
      <c r="C68" s="27" t="s">
        <v>13</v>
      </c>
      <c r="D68" s="33">
        <f>('Financial Statements'!B17-'Financial Statements'!D17)/'Financial Statements'!D17</f>
        <v>0.3278421433743664</v>
      </c>
      <c r="E68" s="23"/>
      <c r="F68" s="23"/>
      <c r="G68" s="26"/>
      <c r="H68" s="26"/>
    </row>
    <row r="69" spans="2:8" x14ac:dyDescent="0.3">
      <c r="B69" s="18"/>
      <c r="C69" s="27"/>
    </row>
    <row r="70" spans="2:8" x14ac:dyDescent="0.3">
      <c r="B70" s="18">
        <v>4</v>
      </c>
      <c r="C70" s="17" t="s">
        <v>177</v>
      </c>
    </row>
    <row r="71" spans="2:8" x14ac:dyDescent="0.3">
      <c r="B71" s="18">
        <v>4.0999999999999996</v>
      </c>
      <c r="C71" s="27" t="s">
        <v>31</v>
      </c>
      <c r="D71" s="33">
        <f>('Financial Statements'!B42-'Financial Statements'!D42)/'Financial Statements'!D42</f>
        <v>-5.7809662313082322E-2</v>
      </c>
      <c r="E71" s="23"/>
      <c r="F71" s="23"/>
      <c r="G71" s="26"/>
      <c r="H71" s="26"/>
    </row>
    <row r="72" spans="2:8" x14ac:dyDescent="0.3">
      <c r="B72" s="18">
        <v>4.2</v>
      </c>
      <c r="C72" s="27" t="s">
        <v>50</v>
      </c>
      <c r="D72" s="33">
        <f>('Financial Statements'!B47-'Financial Statements'!D47)/'Financial Statements'!D47</f>
        <v>0.20632718190647981</v>
      </c>
      <c r="E72" s="23"/>
      <c r="F72" s="23"/>
      <c r="G72" s="26"/>
      <c r="H72" s="26"/>
    </row>
    <row r="73" spans="2:8" x14ac:dyDescent="0.3">
      <c r="B73" s="18">
        <v>4.3</v>
      </c>
      <c r="C73" s="27" t="s">
        <v>33</v>
      </c>
      <c r="D73" s="33">
        <f>('Financial Statements'!B48-'Financial Statements'!D48)/'Financial Statements'!D48</f>
        <v>8.9126488168749685E-2</v>
      </c>
      <c r="E73" s="23"/>
      <c r="F73" s="23"/>
      <c r="G73" s="26"/>
      <c r="H73" s="26"/>
    </row>
    <row r="74" spans="2:8" x14ac:dyDescent="0.3">
      <c r="B74" s="18">
        <v>4.4000000000000004</v>
      </c>
      <c r="C74" s="27" t="s">
        <v>40</v>
      </c>
      <c r="D74" s="33">
        <f>('Financial Statements'!B56-'Financial Statements'!D56)/'Financial Statements'!D56</f>
        <v>0.46104068620009109</v>
      </c>
      <c r="E74" s="23"/>
      <c r="F74" s="23"/>
      <c r="G74" s="26"/>
      <c r="H74" s="26"/>
    </row>
    <row r="75" spans="2:8" x14ac:dyDescent="0.3">
      <c r="B75" s="18">
        <v>4.5</v>
      </c>
      <c r="C75" s="27" t="s">
        <v>53</v>
      </c>
      <c r="D75" s="33">
        <f>('Financial Statements'!B61-'Financial Statements'!D61)/'Financial Statements'!D61</f>
        <v>-3.3011876701685199E-2</v>
      </c>
      <c r="E75" s="26"/>
      <c r="F75" s="26"/>
      <c r="G75" s="26"/>
      <c r="H75" s="26"/>
    </row>
    <row r="76" spans="2:8" x14ac:dyDescent="0.3">
      <c r="B76" s="18">
        <v>4.5999999999999996</v>
      </c>
      <c r="C76" s="27" t="s">
        <v>41</v>
      </c>
      <c r="D76" s="33">
        <f>('Financial Statements'!B62-'Financial Statements'!D62)/'Financial Statements'!D62</f>
        <v>0.16837814108737609</v>
      </c>
      <c r="E76" s="26"/>
      <c r="F76" s="26"/>
      <c r="G76" s="26"/>
      <c r="H76" s="26"/>
    </row>
    <row r="77" spans="2:8" x14ac:dyDescent="0.3">
      <c r="B77" s="18">
        <v>4.7</v>
      </c>
      <c r="C77" s="27" t="s">
        <v>45</v>
      </c>
      <c r="D77" s="33">
        <f>('Financial Statements'!B68-'Financial Statements'!D68)/'Financial Statements'!D68</f>
        <v>-0.2244754281516399</v>
      </c>
      <c r="E77" s="26"/>
      <c r="F77" s="26"/>
      <c r="G77" s="26"/>
      <c r="H77" s="26"/>
    </row>
    <row r="78" spans="2:8" x14ac:dyDescent="0.3">
      <c r="B78" s="18">
        <v>4.8</v>
      </c>
      <c r="C78" s="27" t="s">
        <v>46</v>
      </c>
      <c r="D78" s="33">
        <f>('Financial Statements'!B69-'Financial Statements'!D69)/'Financial Statements'!D69</f>
        <v>8.9126488168749685E-2</v>
      </c>
      <c r="E78" s="26"/>
      <c r="F78" s="26"/>
      <c r="G78" s="26"/>
      <c r="H78" s="26"/>
    </row>
    <row r="81" spans="2:9" x14ac:dyDescent="0.3">
      <c r="B81" s="37" t="s">
        <v>178</v>
      </c>
      <c r="C81" s="37"/>
      <c r="D81" s="37"/>
      <c r="E81" s="37"/>
      <c r="F81" s="37"/>
      <c r="G81" s="37"/>
      <c r="H81" s="37"/>
    </row>
    <row r="82" spans="2:9" x14ac:dyDescent="0.3">
      <c r="D82">
        <v>2022</v>
      </c>
      <c r="E82">
        <v>2021</v>
      </c>
      <c r="G82">
        <v>2020</v>
      </c>
      <c r="H82" t="s">
        <v>186</v>
      </c>
    </row>
    <row r="83" spans="2:9" x14ac:dyDescent="0.3">
      <c r="B83" s="18">
        <v>5</v>
      </c>
      <c r="C83" s="27" t="s">
        <v>179</v>
      </c>
      <c r="D83" s="33">
        <f>('Financial Statements'!B12/'Financial Statements'!B8)</f>
        <v>0.56690369438639909</v>
      </c>
      <c r="E83" s="33">
        <f>'Financial Statements'!C12/'Financial Statements'!C8</f>
        <v>0.58220640374832222</v>
      </c>
      <c r="F83" s="33"/>
      <c r="G83" s="33">
        <f>'Financial Statements'!D12/'Financial Statements'!D8</f>
        <v>0.61766752272189129</v>
      </c>
      <c r="H83" s="33">
        <f>MEDIAN(D83:G83)</f>
        <v>0.58220640374832222</v>
      </c>
    </row>
    <row r="84" spans="2:9" x14ac:dyDescent="0.3">
      <c r="B84" s="18">
        <v>6</v>
      </c>
      <c r="C84" s="27" t="s">
        <v>89</v>
      </c>
      <c r="D84" s="33">
        <f>'Financial Statements'!B13/'Financial Statements'!B8</f>
        <v>0.43309630561360085</v>
      </c>
      <c r="E84" s="33">
        <f>'Financial Statements'!C13/'Financial Statements'!C8</f>
        <v>0.41779359625167778</v>
      </c>
      <c r="F84" s="33"/>
      <c r="G84" s="33">
        <f>'Financial Statements'!D13/'Financial Statements'!D8</f>
        <v>0.38233247727810865</v>
      </c>
      <c r="H84" s="33">
        <f>MEDIAN(D84:G84)</f>
        <v>0.41779359625167778</v>
      </c>
    </row>
    <row r="85" spans="2:9" x14ac:dyDescent="0.3">
      <c r="B85" s="18">
        <v>6</v>
      </c>
      <c r="C85" s="17" t="s">
        <v>90</v>
      </c>
      <c r="D85" s="33"/>
      <c r="E85" s="33"/>
      <c r="F85" s="33"/>
      <c r="G85" s="33"/>
      <c r="H85" s="33"/>
    </row>
    <row r="86" spans="2:9" x14ac:dyDescent="0.3">
      <c r="B86">
        <v>6.1</v>
      </c>
      <c r="C86" s="27" t="s">
        <v>11</v>
      </c>
      <c r="D86" s="33">
        <f>'Financial Statements'!B15/'Financial Statements'!B8</f>
        <v>6.657148363798665E-2</v>
      </c>
      <c r="E86" s="33">
        <f>'Financial Statements'!C15/'Financial Statements'!C8</f>
        <v>5.9904269074427925E-2</v>
      </c>
      <c r="F86" s="33"/>
      <c r="G86" s="33">
        <f>'Financial Statements'!D15/'Financial Statements'!D8</f>
        <v>6.8309564140393061E-2</v>
      </c>
      <c r="H86" s="33">
        <f>MEDIAN(D86:G86)</f>
        <v>6.657148363798665E-2</v>
      </c>
    </row>
    <row r="87" spans="2:9" x14ac:dyDescent="0.3">
      <c r="B87">
        <v>6.2</v>
      </c>
      <c r="C87" s="27" t="s">
        <v>12</v>
      </c>
      <c r="D87" s="33">
        <f>'Financial Statements'!B16/'Financial Statements'!B8</f>
        <v>6.3637378020328261E-2</v>
      </c>
      <c r="E87" s="33">
        <f>'Financial Statements'!C16/'Financial Statements'!C8</f>
        <v>6.006555190163388E-2</v>
      </c>
      <c r="F87" s="33"/>
      <c r="G87" s="33">
        <f>'Financial Statements'!D16/'Financial Statements'!D8</f>
        <v>7.2549769593646979E-2</v>
      </c>
      <c r="H87" s="33">
        <f>MEDIAN(D87:G87)</f>
        <v>6.3637378020328261E-2</v>
      </c>
    </row>
    <row r="88" spans="2:9" x14ac:dyDescent="0.3">
      <c r="B88" s="18">
        <v>7</v>
      </c>
      <c r="C88" s="27" t="s">
        <v>14</v>
      </c>
      <c r="D88" s="33">
        <f>'Financial Statements'!B18/'Financial Statements'!B8</f>
        <v>0.30288744395528594</v>
      </c>
      <c r="E88" s="33">
        <f>'Financial Statements'!C18/'Financial Statements'!C8</f>
        <v>0.29782377527561593</v>
      </c>
      <c r="F88" s="33"/>
      <c r="G88" s="33">
        <f>'Financial Statements'!D18/'Financial Statements'!D8</f>
        <v>0.24147314354406862</v>
      </c>
      <c r="H88" s="33">
        <f>MEDIAN(D88:G88)</f>
        <v>0.29782377527561593</v>
      </c>
    </row>
    <row r="89" spans="2:9" x14ac:dyDescent="0.3">
      <c r="B89" s="18">
        <v>8</v>
      </c>
      <c r="C89" s="27" t="s">
        <v>93</v>
      </c>
      <c r="D89" s="33">
        <f>'Financial Statements'!B22/'Financial Statements'!B8</f>
        <v>0.25309640705199732</v>
      </c>
      <c r="E89" s="33">
        <f>'Financial Statements'!C22/'Financial Statements'!C8</f>
        <v>0.25881793355694238</v>
      </c>
      <c r="F89" s="33"/>
      <c r="G89" s="33">
        <f>'Financial Statements'!D22/'Financial Statements'!D8</f>
        <v>0.20913611278072236</v>
      </c>
      <c r="H89" s="33">
        <f>MEDIAN(D89:G89)</f>
        <v>0.25309640705199732</v>
      </c>
    </row>
    <row r="92" spans="2:9" x14ac:dyDescent="0.3">
      <c r="B92" s="35" t="s">
        <v>180</v>
      </c>
      <c r="C92" s="35"/>
      <c r="D92" s="35"/>
      <c r="E92" s="35"/>
      <c r="F92" s="35"/>
      <c r="G92" s="35"/>
      <c r="H92" s="35"/>
      <c r="I92" t="s">
        <v>187</v>
      </c>
    </row>
    <row r="93" spans="2:9" x14ac:dyDescent="0.3">
      <c r="B93" s="18">
        <v>9</v>
      </c>
      <c r="C93" s="27" t="s">
        <v>94</v>
      </c>
      <c r="D93" s="33">
        <f>'Financial Statements'!B113/'Financial Statements'!B8</f>
        <v>4.9636343348684345E-2</v>
      </c>
      <c r="E93" s="33">
        <f>'Financial Statements'!C113/'Financial Statements'!C8</f>
        <v>6.9392619807171346E-2</v>
      </c>
      <c r="F93" s="33"/>
      <c r="G93" s="33">
        <f>'Financial Statements'!D113/'Financial Statements'!D8</f>
        <v>3.4610130593956616E-2</v>
      </c>
      <c r="H93" s="18"/>
      <c r="I93" s="34">
        <f>MEDIAN(D93:G93)</f>
        <v>4.9636343348684345E-2</v>
      </c>
    </row>
    <row r="94" spans="2:9" x14ac:dyDescent="0.3">
      <c r="B94" s="18">
        <v>10</v>
      </c>
      <c r="C94" s="27" t="s">
        <v>95</v>
      </c>
      <c r="D94" s="33">
        <f>('Financial Statements'!B45+'Financial Statements'!B79)/'Financial Statements'!B8</f>
        <v>0.13496632245237467</v>
      </c>
      <c r="E94" s="33">
        <f>('Financial Statements'!C45+'Financial Statements'!C79)/'Financial Statements'!C8</f>
        <v>0.13865949368126687</v>
      </c>
      <c r="F94" s="33"/>
      <c r="G94" s="33">
        <f>('Financial Statements'!D45+'Financial Statements'!D79)/'Financial Statements'!D8</f>
        <v>0.17420541682603866</v>
      </c>
      <c r="H94" s="26"/>
      <c r="I94" s="34">
        <f>MEDIAN(D94:G94)</f>
        <v>0.13865949368126687</v>
      </c>
    </row>
    <row r="95" spans="2:9" x14ac:dyDescent="0.3">
      <c r="B95" s="18">
        <v>11</v>
      </c>
      <c r="C95" s="27" t="s">
        <v>96</v>
      </c>
      <c r="D95" s="33">
        <f>('Financial Statements'!B45+'Financial Statements'!B79)/'Financial Statements'!B47</f>
        <v>0.24486312399355878</v>
      </c>
      <c r="E95" s="33">
        <f>('Financial Statements'!C45+'Financial Statements'!C79)/'Financial Statements'!C47</f>
        <v>0.23465299815882237</v>
      </c>
      <c r="F95" s="33"/>
      <c r="G95" s="33">
        <f>('Financial Statements'!D45+'Financial Statements'!D79)/'Financial Statements'!D47</f>
        <v>0.265419730817261</v>
      </c>
      <c r="H95" s="26"/>
      <c r="I95" s="34">
        <f>MEDIAN(D95:G95)</f>
        <v>0.24486312399355878</v>
      </c>
    </row>
    <row r="96" spans="2:9" x14ac:dyDescent="0.3">
      <c r="C96" s="27" t="s">
        <v>181</v>
      </c>
      <c r="E96" s="12"/>
      <c r="F96" s="12"/>
      <c r="G96" s="12"/>
      <c r="H96" s="12"/>
    </row>
  </sheetData>
  <mergeCells count="5">
    <mergeCell ref="C2:E2"/>
    <mergeCell ref="B57:H57"/>
    <mergeCell ref="B81:H81"/>
    <mergeCell ref="B92:H92"/>
    <mergeCell ref="C56:G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2020-05-18T16:32:37Z</dcterms:created>
  <dcterms:modified xsi:type="dcterms:W3CDTF">2023-10-18T16:53:10Z</dcterms:modified>
</cp:coreProperties>
</file>