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xcell Practice\"/>
    </mc:Choice>
  </mc:AlternateContent>
  <xr:revisionPtr revIDLastSave="0" documentId="13_ncr:1_{B5914DFA-9333-45CF-821D-C2846F501B7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K32" i="3"/>
  <c r="L32" i="3"/>
  <c r="J32" i="3"/>
  <c r="K31" i="3"/>
  <c r="L31" i="3"/>
  <c r="J31" i="3"/>
  <c r="K30" i="3"/>
  <c r="L30" i="3"/>
  <c r="J30" i="3"/>
  <c r="K29" i="3"/>
  <c r="L29" i="3"/>
  <c r="J29" i="3"/>
  <c r="K28" i="3"/>
  <c r="L28" i="3"/>
  <c r="J28" i="3"/>
  <c r="K27" i="3"/>
  <c r="L27" i="3"/>
  <c r="J27" i="3"/>
  <c r="K25" i="3"/>
  <c r="L25" i="3"/>
  <c r="J25" i="3"/>
  <c r="K24" i="3"/>
  <c r="L24" i="3"/>
  <c r="J24" i="3"/>
  <c r="J21" i="3"/>
  <c r="K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1" i="3"/>
  <c r="J11" i="3"/>
  <c r="K10" i="3"/>
  <c r="J10" i="3"/>
  <c r="K9" i="3"/>
  <c r="J9" i="3"/>
  <c r="K8" i="3"/>
  <c r="J8" i="3"/>
  <c r="K7" i="3"/>
  <c r="J7" i="3"/>
  <c r="K3" i="3"/>
  <c r="L3" i="3"/>
  <c r="J3" i="3"/>
  <c r="D8" i="3"/>
  <c r="E8" i="3"/>
  <c r="C8" i="3"/>
  <c r="C9" i="3"/>
  <c r="D9" i="3"/>
  <c r="E9" i="3"/>
  <c r="D28" i="3"/>
  <c r="E28" i="3"/>
  <c r="C28" i="3"/>
  <c r="D21" i="3"/>
  <c r="E21" i="3"/>
  <c r="D19" i="3"/>
  <c r="E19" i="3"/>
  <c r="C19" i="3"/>
  <c r="D50" i="3"/>
  <c r="E50" i="3"/>
  <c r="C50" i="3"/>
  <c r="D51" i="3"/>
  <c r="E51" i="3"/>
  <c r="C51" i="3"/>
  <c r="D49" i="3"/>
  <c r="E49" i="3"/>
  <c r="C49" i="3"/>
  <c r="D48" i="3"/>
  <c r="E48" i="3"/>
  <c r="C48" i="3"/>
  <c r="D47" i="3"/>
  <c r="E47" i="3"/>
  <c r="C47" i="3"/>
  <c r="D42" i="3"/>
  <c r="E42" i="3"/>
  <c r="C42" i="3"/>
  <c r="C41" i="3"/>
  <c r="D43" i="3"/>
  <c r="E43" i="3"/>
  <c r="C43" i="3"/>
  <c r="D40" i="3"/>
  <c r="E40" i="3"/>
  <c r="C40" i="3"/>
  <c r="D41" i="3"/>
  <c r="E41" i="3"/>
  <c r="D37" i="3" l="1"/>
  <c r="E37" i="3"/>
  <c r="C37" i="3"/>
  <c r="D36" i="3"/>
  <c r="E36" i="3"/>
  <c r="C36" i="3"/>
  <c r="D35" i="3"/>
  <c r="E35" i="3"/>
  <c r="C35" i="3"/>
  <c r="D34" i="3"/>
  <c r="E34" i="3"/>
  <c r="C34" i="3"/>
  <c r="D30" i="3" l="1"/>
  <c r="E30" i="3"/>
  <c r="C30" i="3"/>
  <c r="D31" i="3"/>
  <c r="E31" i="3"/>
  <c r="C31" i="3"/>
  <c r="D29" i="3"/>
  <c r="E29" i="3"/>
  <c r="C29" i="3"/>
  <c r="D27" i="3"/>
  <c r="E27" i="3"/>
  <c r="D22" i="3"/>
  <c r="E22" i="3"/>
  <c r="C22" i="3"/>
  <c r="D20" i="3"/>
  <c r="E20" i="3"/>
  <c r="C20" i="3"/>
  <c r="D18" i="3"/>
  <c r="E18" i="3"/>
  <c r="C18" i="3"/>
  <c r="D17" i="3"/>
  <c r="E17" i="3"/>
  <c r="C17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7" i="3"/>
  <c r="E7" i="3"/>
  <c r="C7" i="3"/>
  <c r="D6" i="3"/>
  <c r="E6" i="3"/>
  <c r="C6" i="3"/>
  <c r="D5" i="3"/>
  <c r="E5" i="3"/>
  <c r="C5" i="3"/>
  <c r="D3" i="3"/>
  <c r="E3" i="3"/>
  <c r="C3" i="3"/>
  <c r="C114" i="2"/>
  <c r="D114" i="2"/>
  <c r="B114" i="2"/>
  <c r="C113" i="2"/>
  <c r="D113" i="2"/>
  <c r="B113" i="2"/>
  <c r="C111" i="2"/>
  <c r="D111" i="2"/>
  <c r="B111" i="2"/>
  <c r="D102" i="2"/>
  <c r="C102" i="2"/>
  <c r="B102" i="2"/>
  <c r="D95" i="2"/>
  <c r="C95" i="2"/>
  <c r="B95" i="2"/>
  <c r="C82" i="2"/>
  <c r="D82" i="2"/>
  <c r="B82" i="2"/>
  <c r="C58" i="2"/>
  <c r="C59" i="2" s="1"/>
  <c r="D58" i="2"/>
  <c r="D59" i="2" s="1"/>
  <c r="B58" i="2"/>
  <c r="D68" i="2"/>
  <c r="C68" i="2"/>
  <c r="B68" i="2"/>
  <c r="C53" i="2"/>
  <c r="D53" i="2"/>
  <c r="B53" i="2"/>
  <c r="C46" i="2"/>
  <c r="D46" i="2"/>
  <c r="B46" i="2"/>
  <c r="C41" i="2"/>
  <c r="C47" i="2" s="1"/>
  <c r="D41" i="2"/>
  <c r="D47" i="2" s="1"/>
  <c r="B41" i="2"/>
  <c r="B47" i="2" s="1"/>
  <c r="C78" i="2"/>
  <c r="D78" i="2"/>
  <c r="B78" i="2"/>
  <c r="D69" i="2" l="1"/>
  <c r="E26" i="3"/>
  <c r="E25" i="3"/>
  <c r="C69" i="2"/>
  <c r="D26" i="3"/>
  <c r="D25" i="3"/>
  <c r="B59" i="2"/>
  <c r="B69" i="2" l="1"/>
  <c r="C27" i="3" s="1"/>
  <c r="C26" i="3"/>
  <c r="C25" i="3"/>
  <c r="C35" i="2" l="1"/>
  <c r="D35" i="2"/>
  <c r="B35" i="2"/>
  <c r="C21" i="2"/>
  <c r="B21" i="2"/>
  <c r="D21" i="2"/>
  <c r="C16" i="2"/>
  <c r="B16" i="2"/>
  <c r="D16" i="2"/>
  <c r="C8" i="2" l="1"/>
  <c r="C17" i="2" s="1"/>
  <c r="B8" i="2"/>
  <c r="B17" i="2" s="1"/>
  <c r="D8" i="2"/>
  <c r="D17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<sst xmlns="http://schemas.openxmlformats.org/spreadsheetml/2006/main" count="198" uniqueCount="184">
  <si>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</si>
  <si>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</si>
  <si>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</si>
  <si>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</si>
  <si>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</si>
  <si>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</si>
  <si>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</si>
  <si>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</si>
  <si>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</si>
  <si>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</si>
  <si>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</si>
  <si>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</si>
  <si>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</si>
  <si>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</si>
  <si>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</si>
  <si>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</si>
  <si>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</si>
  <si>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</si>
  <si>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</si>
  <si>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</si>
  <si>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</si>
  <si>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</si>
  <si>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</si>
  <si>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</si>
  <si>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</si>
  <si>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</si>
  <si>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</si>
  <si>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</si>
  <si>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</si>
  <si>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</si>
  <si>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</si>
  <si>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</si>
  <si>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</si>
  <si>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</si>
  <si>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</si>
  <si>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</si>
  <si>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</si>
  <si>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</si>
  <si>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</si>
  <si>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</si>
  <si>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</si>
  <si>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</si>
  <si>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</si>
  <si>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</si>
  <si>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</si>
  <si>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</si>
  <si>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</si>
  <si>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</si>
  <si>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</si>
  <si>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</si>
  <si>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</si>
  <si>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</si>
  <si>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</si>
  <si>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</si>
  <si>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</si>
  <si>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</si>
  <si>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</si>
  <si>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</si>
  <si>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</si>
  <si>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December 31,</t>
  </si>
  <si>
    <t xml:space="preserve">Net product sales  </t>
  </si>
  <si>
    <t>Net service sales</t>
  </si>
  <si>
    <t>Total net sales</t>
  </si>
  <si>
    <t>Total operating expenses</t>
  </si>
  <si>
    <t>Other operating expense (income), net</t>
  </si>
  <si>
    <t>General and administrative</t>
  </si>
  <si>
    <t>Sales and marketing</t>
  </si>
  <si>
    <t>Technology and content</t>
  </si>
  <si>
    <t>Fulfillment</t>
  </si>
  <si>
    <t>Cost of sales</t>
  </si>
  <si>
    <t>Operating expenses:</t>
  </si>
  <si>
    <t xml:space="preserve">Operating income </t>
  </si>
  <si>
    <t xml:space="preserve">Interest income </t>
  </si>
  <si>
    <t xml:space="preserve">Interest expense   </t>
  </si>
  <si>
    <t xml:space="preserve">Total non-operating income (expense) </t>
  </si>
  <si>
    <t xml:space="preserve">Other income (expense), net </t>
  </si>
  <si>
    <t xml:space="preserve">Income (loss) before income taxes  </t>
  </si>
  <si>
    <t xml:space="preserve">Benefit (provision) for income taxes </t>
  </si>
  <si>
    <t xml:space="preserve">Equity-method investment activity, net of tax </t>
  </si>
  <si>
    <t>Weighted-average shares used in computation of earnings per share:</t>
  </si>
  <si>
    <t>Diluted</t>
  </si>
  <si>
    <t>Net income (loss)</t>
  </si>
  <si>
    <t>Basic earnings per share</t>
  </si>
  <si>
    <t>Diluted earnings per share</t>
  </si>
  <si>
    <t xml:space="preserve">Basic   </t>
  </si>
  <si>
    <t>As at December 31,</t>
  </si>
  <si>
    <t>Current assets:</t>
  </si>
  <si>
    <t>Cash and cash equivalents</t>
  </si>
  <si>
    <t xml:space="preserve">Marketable securities  </t>
  </si>
  <si>
    <t xml:space="preserve">Inventories </t>
  </si>
  <si>
    <t xml:space="preserve">Accounts receivable, net and other </t>
  </si>
  <si>
    <t xml:space="preserve">Total current assets  </t>
  </si>
  <si>
    <t xml:space="preserve">Property and equipment, net </t>
  </si>
  <si>
    <t xml:space="preserve">Operating leases  </t>
  </si>
  <si>
    <t xml:space="preserve">Goodwill </t>
  </si>
  <si>
    <t xml:space="preserve">Other assets  </t>
  </si>
  <si>
    <t>Total assets</t>
  </si>
  <si>
    <t>Current liabilities:</t>
  </si>
  <si>
    <t>Commitments and contingencies (Note 7)</t>
  </si>
  <si>
    <t>Stockholders’ equity:</t>
  </si>
  <si>
    <t>Common stock ($0.01 par value; 100,000 shares authorized; 10,644 and 10,757 shares</t>
  </si>
  <si>
    <t>Accounts payable</t>
  </si>
  <si>
    <t xml:space="preserve">Accrued expenses and other  </t>
  </si>
  <si>
    <t xml:space="preserve">Unearned revenue </t>
  </si>
  <si>
    <t xml:space="preserve">Total current liabilities  </t>
  </si>
  <si>
    <t xml:space="preserve">Long-term lease liabilities  </t>
  </si>
  <si>
    <t xml:space="preserve">Long-term debt </t>
  </si>
  <si>
    <t xml:space="preserve">Other long-term liabilities  </t>
  </si>
  <si>
    <t>Preferred stock ($0.01 par value; 500 shares authorized; no shares issued or outstanding)</t>
  </si>
  <si>
    <t xml:space="preserve">issued; 10,175 and 10,242 shares outstanding) </t>
  </si>
  <si>
    <t xml:space="preserve">Treasury stock, at cost  </t>
  </si>
  <si>
    <t xml:space="preserve">Additional paid-in capital  </t>
  </si>
  <si>
    <t xml:space="preserve">Accumulated other comprehensive income (loss) </t>
  </si>
  <si>
    <t xml:space="preserve">Retained earnings </t>
  </si>
  <si>
    <t xml:space="preserve">Total stockholders’ equity  </t>
  </si>
  <si>
    <t>Total liabilities and stockholders’ equity</t>
  </si>
  <si>
    <t>CASH, CASH EQUIVALENTS, AND RESTRICTED CASH, BEGINNING OF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</si>
  <si>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</si>
  <si>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</si>
  <si>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</si>
  <si>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Changes in operating assets and liabilities:</t>
  </si>
  <si>
    <t>INVESTING ACTIVITIES:</t>
  </si>
  <si>
    <t>FINANCING ACTIVITIES:</t>
  </si>
  <si>
    <t>PERIOD</t>
  </si>
  <si>
    <t xml:space="preserve">Net income (loss)  </t>
  </si>
  <si>
    <t xml:space="preserve">costs, operating lease assets, and other  </t>
  </si>
  <si>
    <t xml:space="preserve">Stock-based compensation </t>
  </si>
  <si>
    <t xml:space="preserve">Other expense (income), net  </t>
  </si>
  <si>
    <t xml:space="preserve">Deferred income taxes  </t>
  </si>
  <si>
    <t xml:space="preserve">Inventories  </t>
  </si>
  <si>
    <t xml:space="preserve">Accounts receivable, net and other  </t>
  </si>
  <si>
    <t xml:space="preserve">Accounts payable  </t>
  </si>
  <si>
    <t xml:space="preserve">Unearned revenue   </t>
  </si>
  <si>
    <t xml:space="preserve">Net cash provided by (used in) operating activities  </t>
  </si>
  <si>
    <t xml:space="preserve">Purchases of property and equipment  </t>
  </si>
  <si>
    <t xml:space="preserve">Proceeds from property and equipment sales and incentives </t>
  </si>
  <si>
    <t xml:space="preserve">Acquisitions, net of cash acquired, and other  </t>
  </si>
  <si>
    <t xml:space="preserve">Sales and maturities of marketable securities </t>
  </si>
  <si>
    <t xml:space="preserve">Purchases of marketable securities </t>
  </si>
  <si>
    <t xml:space="preserve">Net cash provided by (used in) investing activities </t>
  </si>
  <si>
    <t xml:space="preserve"> — </t>
  </si>
  <si>
    <t xml:space="preserve">Common stock repurchased </t>
  </si>
  <si>
    <t>—</t>
  </si>
  <si>
    <t xml:space="preserve">Proceeds from short-term debt, and other   </t>
  </si>
  <si>
    <t xml:space="preserve">Repayments of short-term debt, and other </t>
  </si>
  <si>
    <t xml:space="preserve">Proceeds from long-term debt  </t>
  </si>
  <si>
    <t>Repayments of long-term debt</t>
  </si>
  <si>
    <t xml:space="preserve">Principal repayments of finance leases </t>
  </si>
  <si>
    <t xml:space="preserve">Principal repayments of financing obligations </t>
  </si>
  <si>
    <t xml:space="preserve">Net cash provided by (used in) financing activities </t>
  </si>
  <si>
    <t xml:space="preserve">Foreign currency effect on cash, cash equivalents, and restricted cash </t>
  </si>
  <si>
    <t>Net increase (decrease) in cash, cash equivalents, and restricted cash</t>
  </si>
  <si>
    <t>CASH, CASH EQUIVALENTS, AND RESTRICTED CASH, END OF PERIOD</t>
  </si>
  <si>
    <t>Total Non-Current Assets</t>
  </si>
  <si>
    <t xml:space="preserve">Total Non- Current Liabilities </t>
  </si>
  <si>
    <t xml:space="preserve">Total Liabilities </t>
  </si>
  <si>
    <t>SUPPLEMENTAL CASH FLOW INFORMATION:</t>
  </si>
  <si>
    <t>Property and equipment acquired under finance leases, net of remeasurements and</t>
  </si>
  <si>
    <t xml:space="preserve">Cash paid for interest on debt 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</si>
  <si>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</si>
  <si>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</si>
  <si>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</si>
  <si>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</si>
  <si>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</si>
  <si>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modifications</t>
  </si>
  <si>
    <t>Closing Share Prices: End 30th September</t>
  </si>
  <si>
    <t>Growth Rates</t>
  </si>
  <si>
    <t>Net sales:</t>
  </si>
  <si>
    <t>Products</t>
  </si>
  <si>
    <t>Services</t>
  </si>
  <si>
    <t>Main Line Items on Balance Sheet</t>
  </si>
  <si>
    <t>Total current assets</t>
  </si>
  <si>
    <t>Total non current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</si>
  <si>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</si>
  <si>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</si>
  <si>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</si>
  <si>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</si>
  <si>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</si>
  <si>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As a % of Net Sales</t>
  </si>
  <si>
    <t>COGS (Cost of goods sold)</t>
  </si>
  <si>
    <t>Gross profits</t>
  </si>
  <si>
    <t>Cost of Sales</t>
  </si>
  <si>
    <t>Total Operating Expenses</t>
  </si>
  <si>
    <t>Amazon.com,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</si>
</sst>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"/>
    <numFmt numFmtId="169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0"/>
      <name val="Times New Roman"/>
      <family val="1"/>
    </font>
    <font>
      <sz val="12"/>
      <color theme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2" applyAlignment="1">
      <alignment horizontal="left" wrapText="1" inden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6" fontId="8" fillId="0" borderId="0" xfId="0" applyNumberFormat="1" applyFont="1"/>
    <xf numFmtId="0" fontId="8" fillId="0" borderId="0" xfId="0" applyFont="1" applyAlignment="1">
      <alignment horizontal="left" indent="1"/>
    </xf>
    <xf numFmtId="164" fontId="8" fillId="0" borderId="0" xfId="1" applyNumberFormat="1" applyFont="1"/>
    <xf numFmtId="164" fontId="8" fillId="0" borderId="0" xfId="1" applyNumberFormat="1" applyFont="1" applyBorder="1"/>
    <xf numFmtId="0" fontId="8" fillId="0" borderId="0" xfId="0" applyFont="1" applyBorder="1"/>
    <xf numFmtId="0" fontId="9" fillId="0" borderId="5" xfId="0" applyFont="1" applyBorder="1"/>
    <xf numFmtId="164" fontId="9" fillId="0" borderId="5" xfId="1" applyNumberFormat="1" applyFont="1" applyBorder="1"/>
    <xf numFmtId="0" fontId="9" fillId="0" borderId="0" xfId="0" applyFont="1" applyBorder="1"/>
    <xf numFmtId="0" fontId="9" fillId="0" borderId="1" xfId="0" applyFont="1" applyBorder="1"/>
    <xf numFmtId="164" fontId="9" fillId="0" borderId="1" xfId="1" applyNumberFormat="1" applyFont="1" applyBorder="1"/>
    <xf numFmtId="164" fontId="8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0" fontId="9" fillId="0" borderId="2" xfId="0" applyFont="1" applyBorder="1"/>
    <xf numFmtId="37" fontId="9" fillId="0" borderId="2" xfId="0" applyNumberFormat="1" applyFont="1" applyBorder="1"/>
    <xf numFmtId="39" fontId="8" fillId="0" borderId="3" xfId="0" applyNumberFormat="1" applyFont="1" applyBorder="1"/>
    <xf numFmtId="39" fontId="8" fillId="0" borderId="4" xfId="0" applyNumberFormat="1" applyFont="1" applyBorder="1"/>
    <xf numFmtId="3" fontId="8" fillId="0" borderId="4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1" applyNumberFormat="1" applyFont="1"/>
    <xf numFmtId="3" fontId="8" fillId="0" borderId="0" xfId="0" applyNumberFormat="1" applyFont="1" applyBorder="1"/>
    <xf numFmtId="164" fontId="9" fillId="0" borderId="2" xfId="1" applyNumberFormat="1" applyFont="1" applyBorder="1"/>
    <xf numFmtId="164" fontId="9" fillId="0" borderId="0" xfId="1" applyNumberFormat="1" applyFont="1" applyBorder="1"/>
    <xf numFmtId="0" fontId="8" fillId="0" borderId="0" xfId="0" applyFont="1" applyAlignment="1">
      <alignment horizontal="left" indent="2"/>
    </xf>
    <xf numFmtId="0" fontId="9" fillId="0" borderId="2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3" fontId="9" fillId="0" borderId="5" xfId="0" applyNumberFormat="1" applyFont="1" applyBorder="1"/>
    <xf numFmtId="0" fontId="9" fillId="0" borderId="0" xfId="0" applyFont="1" applyBorder="1" applyAlignment="1">
      <alignment horizontal="left" indent="1"/>
    </xf>
    <xf numFmtId="37" fontId="8" fillId="0" borderId="0" xfId="1" applyNumberFormat="1" applyFont="1"/>
    <xf numFmtId="37" fontId="8" fillId="0" borderId="0" xfId="1" applyNumberFormat="1" applyFont="1" applyBorder="1"/>
    <xf numFmtId="0" fontId="8" fillId="0" borderId="5" xfId="0" applyFont="1" applyBorder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5" fontId="8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/>
    </xf>
    <xf numFmtId="169" fontId="8" fillId="0" borderId="0" xfId="0" applyNumberFormat="1" applyFont="1"/>
    <xf numFmtId="10" fontId="8" fillId="0" borderId="0" xfId="3" applyNumberFormat="1" applyFont="1"/>
    <xf numFmtId="0" fontId="11" fillId="0" borderId="0" xfId="0" applyFont="1"/>
    <xf numFmtId="2" fontId="11" fillId="0" borderId="0" xfId="0" applyNumberFormat="1" applyFont="1"/>
    <xf numFmtId="1" fontId="8" fillId="0" borderId="0" xfId="0" applyNumberFormat="1" applyFont="1"/>
    <xf numFmtId="37" fontId="12" fillId="0" borderId="0" xfId="0" applyNumberFormat="1" applyFont="1"/>
    <xf numFmtId="0" fontId="8" fillId="0" borderId="0" xfId="0" applyFont="1" applyAlignment="1">
      <alignment horizontal="left"/>
    </xf>
    <xf numFmtId="10" fontId="8" fillId="0" borderId="6" xfId="3" applyNumberFormat="1" applyFont="1" applyBorder="1"/>
    <xf numFmtId="10" fontId="8" fillId="0" borderId="0" xfId="3" applyNumberFormat="1" applyFont="1" applyBorder="1"/>
    <xf numFmtId="3" fontId="12" fillId="0" borderId="0" xfId="0" applyNumberFormat="1" applyFont="1"/>
    <xf numFmtId="10" fontId="8" fillId="0" borderId="5" xfId="3" applyNumberFormat="1" applyFon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5" x14ac:dyDescent="0.25"/>
  <cols>
    <col min="1" max="1" width="157.85546875" style="1" customWidth="1"/>
  </cols>
  <sheetData>
    <row r="1" spans="1:1" ht="23.25" x14ac:dyDescent="0.35">
      <c r="A1" s="2" t="s">
        <v>0</v>
      </c>
    </row>
    <row r="3" spans="1:1" x14ac:dyDescent="0.25">
      <c r="A3" s="1" t="s">
        <v>58</v>
      </c>
    </row>
    <row r="4" spans="1:1" x14ac:dyDescent="0.25">
      <c r="A4" s="4" t="s">
        <v>5</v>
      </c>
    </row>
    <row r="5" spans="1:1" x14ac:dyDescent="0.25">
      <c r="A5" s="5" t="s">
        <v>1</v>
      </c>
    </row>
    <row r="7" spans="1:1" x14ac:dyDescent="0.25">
      <c r="A7" s="1" t="s">
        <v>56</v>
      </c>
    </row>
    <row r="8" spans="1:1" x14ac:dyDescent="0.25">
      <c r="A8" s="1" t="s">
        <v>57</v>
      </c>
    </row>
    <row r="9" spans="1:1" ht="30" x14ac:dyDescent="0.25">
      <c r="A9" s="1" t="s">
        <v>2</v>
      </c>
    </row>
    <row r="10" spans="1:1" x14ac:dyDescent="0.25">
      <c r="A10" s="1" t="s">
        <v>6</v>
      </c>
    </row>
    <row r="11" spans="1:1" x14ac:dyDescent="0.25">
      <c r="A11" s="1" t="s">
        <v>4</v>
      </c>
    </row>
    <row r="13" spans="1:1" x14ac:dyDescent="0.25">
      <c r="A13" s="3" t="s">
        <v>3</v>
      </c>
    </row>
    <row r="14" spans="1:1" x14ac:dyDescent="0.25">
      <c r="A14" s="1" t="s">
        <v>7</v>
      </c>
    </row>
    <row r="15" spans="1:1" x14ac:dyDescent="0.25">
      <c r="A15" s="1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workbookViewId="0">
      <selection activeCell="A10" sqref="A10"/>
    </sheetView>
  </sheetViews>
  <sheetFormatPr defaultRowHeight="15.75" x14ac:dyDescent="0.25"/>
  <cols>
    <col min="1" max="1" width="73.28515625" style="9" customWidth="1"/>
    <col min="2" max="3" width="11.5703125" style="9" bestFit="1" customWidth="1"/>
    <col min="4" max="4" width="11.7109375" style="9" bestFit="1" customWidth="1"/>
    <col min="5" max="5" width="9.140625" style="9"/>
    <col min="6" max="6" width="9.42578125" style="9" bestFit="1" customWidth="1"/>
    <col min="7" max="7" width="9.85546875" style="9" bestFit="1" customWidth="1"/>
    <col min="8" max="16384" width="9.140625" style="9"/>
  </cols>
  <sheetData>
    <row r="1" spans="1:10" ht="60" customHeight="1" x14ac:dyDescent="0.25">
      <c r="A1" s="6" t="s">
        <v>183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10" t="s">
        <v>10</v>
      </c>
      <c r="B2" s="10"/>
      <c r="C2" s="10"/>
      <c r="D2" s="10"/>
    </row>
    <row r="3" spans="1:10" x14ac:dyDescent="0.25">
      <c r="B3" s="11" t="s">
        <v>59</v>
      </c>
      <c r="C3" s="11"/>
      <c r="D3" s="11"/>
    </row>
    <row r="4" spans="1:10" x14ac:dyDescent="0.25">
      <c r="B4" s="12">
        <v>2022</v>
      </c>
      <c r="C4" s="12">
        <v>2021</v>
      </c>
      <c r="D4" s="12">
        <v>2020</v>
      </c>
    </row>
    <row r="5" spans="1:10" x14ac:dyDescent="0.25">
      <c r="D5" s="13"/>
    </row>
    <row r="6" spans="1:10" x14ac:dyDescent="0.25">
      <c r="A6" s="14" t="s">
        <v>60</v>
      </c>
      <c r="B6" s="15">
        <v>242901</v>
      </c>
      <c r="C6" s="15">
        <v>241787</v>
      </c>
      <c r="D6" s="15">
        <v>215915</v>
      </c>
    </row>
    <row r="7" spans="1:10" x14ac:dyDescent="0.25">
      <c r="A7" s="14" t="s">
        <v>61</v>
      </c>
      <c r="B7" s="15">
        <v>271082</v>
      </c>
      <c r="C7" s="15">
        <v>228035</v>
      </c>
      <c r="D7" s="15">
        <v>170149</v>
      </c>
    </row>
    <row r="8" spans="1:10" x14ac:dyDescent="0.25">
      <c r="A8" s="18" t="s">
        <v>62</v>
      </c>
      <c r="B8" s="19">
        <f>SUM(B6:B7)</f>
        <v>513983</v>
      </c>
      <c r="C8" s="19">
        <f>SUM(C6:C7)</f>
        <v>469822</v>
      </c>
      <c r="D8" s="19">
        <f>SUM(D6:D7)</f>
        <v>386064</v>
      </c>
    </row>
    <row r="9" spans="1:10" x14ac:dyDescent="0.25">
      <c r="A9" s="9" t="s">
        <v>70</v>
      </c>
      <c r="B9" s="15"/>
      <c r="C9" s="15"/>
      <c r="D9" s="15"/>
    </row>
    <row r="10" spans="1:10" x14ac:dyDescent="0.25">
      <c r="A10" s="32" t="s">
        <v>69</v>
      </c>
      <c r="B10" s="33">
        <v>288831</v>
      </c>
      <c r="C10" s="33">
        <v>272344</v>
      </c>
      <c r="D10" s="33">
        <v>233307</v>
      </c>
    </row>
    <row r="11" spans="1:10" x14ac:dyDescent="0.25">
      <c r="A11" s="14" t="s">
        <v>68</v>
      </c>
      <c r="B11" s="15">
        <v>84299</v>
      </c>
      <c r="C11" s="15">
        <v>75111</v>
      </c>
      <c r="D11" s="15">
        <v>58517</v>
      </c>
    </row>
    <row r="12" spans="1:10" x14ac:dyDescent="0.25">
      <c r="A12" s="9" t="s">
        <v>67</v>
      </c>
      <c r="B12" s="16">
        <v>73213</v>
      </c>
      <c r="C12" s="16">
        <v>56052</v>
      </c>
      <c r="D12" s="16">
        <v>42740</v>
      </c>
    </row>
    <row r="13" spans="1:10" x14ac:dyDescent="0.25">
      <c r="A13" s="9" t="s">
        <v>66</v>
      </c>
      <c r="B13" s="15">
        <v>42238</v>
      </c>
      <c r="C13" s="15">
        <v>32551</v>
      </c>
      <c r="D13" s="15">
        <v>22008</v>
      </c>
    </row>
    <row r="14" spans="1:10" x14ac:dyDescent="0.25">
      <c r="A14" s="14" t="s">
        <v>65</v>
      </c>
      <c r="B14" s="15">
        <v>11891</v>
      </c>
      <c r="C14" s="15">
        <v>8823</v>
      </c>
      <c r="D14" s="15">
        <v>6668</v>
      </c>
    </row>
    <row r="15" spans="1:10" x14ac:dyDescent="0.25">
      <c r="A15" s="14" t="s">
        <v>64</v>
      </c>
      <c r="B15" s="15">
        <v>1263</v>
      </c>
      <c r="C15" s="15">
        <v>62</v>
      </c>
      <c r="D15" s="15">
        <v>-75</v>
      </c>
    </row>
    <row r="16" spans="1:10" s="17" customFormat="1" x14ac:dyDescent="0.25">
      <c r="A16" s="17" t="s">
        <v>63</v>
      </c>
      <c r="B16" s="16">
        <f>SUM(B10:B15)</f>
        <v>501735</v>
      </c>
      <c r="C16" s="16">
        <f>SUM(C10:C15)</f>
        <v>444943</v>
      </c>
      <c r="D16" s="16">
        <f>SUM(D10:D15)</f>
        <v>363165</v>
      </c>
    </row>
    <row r="17" spans="1:4" s="20" customFormat="1" x14ac:dyDescent="0.25">
      <c r="A17" s="18" t="s">
        <v>71</v>
      </c>
      <c r="B17" s="19">
        <f>B8-B16</f>
        <v>12248</v>
      </c>
      <c r="C17" s="19">
        <f>C8-C16</f>
        <v>24879</v>
      </c>
      <c r="D17" s="19">
        <f>D8-D16</f>
        <v>22899</v>
      </c>
    </row>
    <row r="18" spans="1:4" x14ac:dyDescent="0.25">
      <c r="A18" s="9" t="s">
        <v>72</v>
      </c>
      <c r="B18" s="15">
        <v>989</v>
      </c>
      <c r="C18" s="15">
        <v>448</v>
      </c>
      <c r="D18" s="15">
        <v>555</v>
      </c>
    </row>
    <row r="19" spans="1:4" x14ac:dyDescent="0.25">
      <c r="A19" s="9" t="s">
        <v>73</v>
      </c>
      <c r="B19" s="16">
        <v>-2367</v>
      </c>
      <c r="C19" s="16">
        <v>-1809</v>
      </c>
      <c r="D19" s="16">
        <v>-1647</v>
      </c>
    </row>
    <row r="20" spans="1:4" x14ac:dyDescent="0.25">
      <c r="A20" s="9" t="s">
        <v>75</v>
      </c>
      <c r="B20" s="15">
        <v>-16806</v>
      </c>
      <c r="C20" s="15">
        <v>14633</v>
      </c>
      <c r="D20" s="15">
        <v>2371</v>
      </c>
    </row>
    <row r="21" spans="1:4" ht="16.5" thickBot="1" x14ac:dyDescent="0.3">
      <c r="A21" s="21" t="s">
        <v>74</v>
      </c>
      <c r="B21" s="22">
        <f>SUM(B18:B20)</f>
        <v>-18184</v>
      </c>
      <c r="C21" s="22">
        <f>SUM(C18:C20)</f>
        <v>13272</v>
      </c>
      <c r="D21" s="22">
        <f>SUM(D18:D20)</f>
        <v>1279</v>
      </c>
    </row>
    <row r="22" spans="1:4" ht="16.5" thickTop="1" x14ac:dyDescent="0.25">
      <c r="A22" s="9" t="s">
        <v>76</v>
      </c>
      <c r="B22" s="23">
        <v>-5936</v>
      </c>
      <c r="C22" s="24">
        <v>38151</v>
      </c>
      <c r="D22" s="24">
        <v>24178</v>
      </c>
    </row>
    <row r="23" spans="1:4" x14ac:dyDescent="0.25">
      <c r="A23" s="14" t="s">
        <v>77</v>
      </c>
      <c r="B23" s="25">
        <v>3217</v>
      </c>
      <c r="C23" s="25">
        <v>-4791</v>
      </c>
      <c r="D23" s="25">
        <v>-2863</v>
      </c>
    </row>
    <row r="24" spans="1:4" ht="16.5" thickBot="1" x14ac:dyDescent="0.3">
      <c r="A24" s="14" t="s">
        <v>78</v>
      </c>
      <c r="B24" s="26">
        <v>-3</v>
      </c>
      <c r="C24" s="25">
        <v>4</v>
      </c>
      <c r="D24" s="25">
        <v>16</v>
      </c>
    </row>
    <row r="25" spans="1:4" ht="16.5" thickBot="1" x14ac:dyDescent="0.3">
      <c r="A25" s="27" t="s">
        <v>81</v>
      </c>
      <c r="B25" s="28">
        <v>-2722</v>
      </c>
      <c r="C25" s="28">
        <v>33364</v>
      </c>
      <c r="D25" s="28">
        <v>21331</v>
      </c>
    </row>
    <row r="26" spans="1:4" ht="16.5" thickBot="1" x14ac:dyDescent="0.3">
      <c r="A26" s="14" t="s">
        <v>82</v>
      </c>
      <c r="B26" s="29">
        <v>-0.27</v>
      </c>
      <c r="C26" s="29">
        <v>3.3</v>
      </c>
      <c r="D26" s="29">
        <v>2.13</v>
      </c>
    </row>
    <row r="27" spans="1:4" ht="17.25" thickTop="1" thickBot="1" x14ac:dyDescent="0.3">
      <c r="A27" s="14" t="s">
        <v>83</v>
      </c>
      <c r="B27" s="30">
        <v>-0.27</v>
      </c>
      <c r="C27" s="30">
        <v>3.24</v>
      </c>
      <c r="D27" s="30">
        <v>2.09</v>
      </c>
    </row>
    <row r="28" spans="1:4" ht="17.25" thickTop="1" thickBot="1" x14ac:dyDescent="0.3">
      <c r="A28" s="14" t="s">
        <v>79</v>
      </c>
      <c r="B28" s="24"/>
      <c r="C28" s="24"/>
      <c r="D28" s="24"/>
    </row>
    <row r="29" spans="1:4" ht="17.25" thickTop="1" thickBot="1" x14ac:dyDescent="0.3">
      <c r="A29" s="14" t="s">
        <v>84</v>
      </c>
      <c r="B29" s="31">
        <v>10189</v>
      </c>
      <c r="C29" s="31">
        <v>10117</v>
      </c>
      <c r="D29" s="31">
        <v>10005</v>
      </c>
    </row>
    <row r="30" spans="1:4" ht="17.25" thickTop="1" thickBot="1" x14ac:dyDescent="0.3">
      <c r="A30" s="14" t="s">
        <v>80</v>
      </c>
      <c r="B30" s="31">
        <v>10189</v>
      </c>
      <c r="C30" s="31">
        <v>10296</v>
      </c>
      <c r="D30" s="31">
        <v>10198</v>
      </c>
    </row>
    <row r="31" spans="1:4" ht="16.5" thickTop="1" x14ac:dyDescent="0.25"/>
    <row r="33" spans="1:7" x14ac:dyDescent="0.25">
      <c r="A33" s="10" t="s">
        <v>12</v>
      </c>
      <c r="B33" s="10"/>
      <c r="C33" s="10"/>
      <c r="D33" s="10"/>
    </row>
    <row r="34" spans="1:7" x14ac:dyDescent="0.25">
      <c r="B34" s="11" t="s">
        <v>85</v>
      </c>
      <c r="C34" s="11"/>
      <c r="D34" s="11"/>
    </row>
    <row r="35" spans="1:7" x14ac:dyDescent="0.25">
      <c r="B35" s="12">
        <f>B4</f>
        <v>2022</v>
      </c>
      <c r="C35" s="12">
        <f t="shared" ref="C35:D35" si="0">C4</f>
        <v>2021</v>
      </c>
      <c r="D35" s="12">
        <f t="shared" si="0"/>
        <v>2020</v>
      </c>
    </row>
    <row r="36" spans="1:7" x14ac:dyDescent="0.25">
      <c r="A36" s="12" t="s">
        <v>86</v>
      </c>
    </row>
    <row r="37" spans="1:7" x14ac:dyDescent="0.25">
      <c r="A37" s="9" t="s">
        <v>87</v>
      </c>
      <c r="B37" s="24">
        <v>53888</v>
      </c>
      <c r="C37" s="24">
        <v>36220</v>
      </c>
      <c r="D37" s="24">
        <v>42122</v>
      </c>
    </row>
    <row r="38" spans="1:7" x14ac:dyDescent="0.25">
      <c r="A38" s="14" t="s">
        <v>88</v>
      </c>
      <c r="B38" s="15">
        <v>16138</v>
      </c>
      <c r="C38" s="15">
        <v>59829</v>
      </c>
      <c r="D38" s="24">
        <v>42274</v>
      </c>
    </row>
    <row r="39" spans="1:7" x14ac:dyDescent="0.25">
      <c r="A39" s="14" t="s">
        <v>89</v>
      </c>
      <c r="B39" s="15">
        <v>34405</v>
      </c>
      <c r="C39" s="15">
        <v>32640</v>
      </c>
      <c r="D39" s="24">
        <v>23795</v>
      </c>
    </row>
    <row r="40" spans="1:7" x14ac:dyDescent="0.25">
      <c r="A40" s="14" t="s">
        <v>90</v>
      </c>
      <c r="B40" s="15">
        <v>42360</v>
      </c>
      <c r="C40" s="15">
        <v>32891</v>
      </c>
      <c r="D40" s="24">
        <v>24542</v>
      </c>
    </row>
    <row r="41" spans="1:7" x14ac:dyDescent="0.25">
      <c r="A41" s="41" t="s">
        <v>91</v>
      </c>
      <c r="B41" s="19">
        <f>SUM(B37:B40)</f>
        <v>146791</v>
      </c>
      <c r="C41" s="19">
        <f t="shared" ref="C41:D41" si="1">SUM(C37:C40)</f>
        <v>161580</v>
      </c>
      <c r="D41" s="19">
        <f t="shared" si="1"/>
        <v>132733</v>
      </c>
      <c r="G41" s="24"/>
    </row>
    <row r="42" spans="1:7" x14ac:dyDescent="0.25">
      <c r="A42" s="14" t="s">
        <v>92</v>
      </c>
      <c r="B42" s="15">
        <v>186715</v>
      </c>
      <c r="C42" s="15">
        <v>160281</v>
      </c>
      <c r="D42" s="24">
        <v>113114</v>
      </c>
    </row>
    <row r="43" spans="1:7" x14ac:dyDescent="0.25">
      <c r="A43" s="14" t="s">
        <v>93</v>
      </c>
      <c r="B43" s="15">
        <v>66123</v>
      </c>
      <c r="C43" s="15">
        <v>56082</v>
      </c>
      <c r="D43" s="24">
        <v>37553</v>
      </c>
    </row>
    <row r="44" spans="1:7" x14ac:dyDescent="0.25">
      <c r="A44" s="17" t="s">
        <v>94</v>
      </c>
      <c r="B44" s="16">
        <v>20288</v>
      </c>
      <c r="C44" s="16">
        <v>15371</v>
      </c>
      <c r="D44" s="24">
        <v>15017</v>
      </c>
    </row>
    <row r="45" spans="1:7" x14ac:dyDescent="0.25">
      <c r="A45" s="9" t="s">
        <v>95</v>
      </c>
      <c r="B45" s="15">
        <v>42758</v>
      </c>
      <c r="C45" s="15">
        <v>27235</v>
      </c>
      <c r="D45" s="24">
        <v>22778</v>
      </c>
      <c r="G45" s="23"/>
    </row>
    <row r="46" spans="1:7" x14ac:dyDescent="0.25">
      <c r="A46" s="18" t="s">
        <v>153</v>
      </c>
      <c r="B46" s="19">
        <f>SUM(B42:B45)</f>
        <v>315884</v>
      </c>
      <c r="C46" s="19">
        <f t="shared" ref="C46:D46" si="2">SUM(C42:C45)</f>
        <v>258969</v>
      </c>
      <c r="D46" s="19">
        <f t="shared" si="2"/>
        <v>188462</v>
      </c>
      <c r="G46" s="23"/>
    </row>
    <row r="47" spans="1:7" x14ac:dyDescent="0.25">
      <c r="A47" s="41" t="s">
        <v>96</v>
      </c>
      <c r="B47" s="19">
        <f>SUM(B41,B46)</f>
        <v>462675</v>
      </c>
      <c r="C47" s="19">
        <f t="shared" ref="C47:D47" si="3">SUM(C41,C46)</f>
        <v>420549</v>
      </c>
      <c r="D47" s="19">
        <f t="shared" si="3"/>
        <v>321195</v>
      </c>
      <c r="G47" s="23"/>
    </row>
    <row r="48" spans="1:7" x14ac:dyDescent="0.25">
      <c r="A48" s="14"/>
      <c r="B48" s="15"/>
      <c r="C48" s="15"/>
    </row>
    <row r="49" spans="1:7" x14ac:dyDescent="0.25">
      <c r="A49" s="32" t="s">
        <v>97</v>
      </c>
      <c r="B49" s="15"/>
      <c r="C49" s="15"/>
    </row>
    <row r="50" spans="1:7" x14ac:dyDescent="0.25">
      <c r="A50" s="17" t="s">
        <v>101</v>
      </c>
      <c r="B50" s="16">
        <v>79600</v>
      </c>
      <c r="C50" s="16">
        <v>78664</v>
      </c>
      <c r="D50" s="24">
        <v>72539</v>
      </c>
    </row>
    <row r="51" spans="1:7" x14ac:dyDescent="0.25">
      <c r="A51" s="17" t="s">
        <v>102</v>
      </c>
      <c r="B51" s="16">
        <v>62566</v>
      </c>
      <c r="C51" s="16">
        <v>51775</v>
      </c>
      <c r="D51" s="24">
        <v>44138</v>
      </c>
    </row>
    <row r="52" spans="1:7" x14ac:dyDescent="0.25">
      <c r="A52" s="17" t="s">
        <v>103</v>
      </c>
      <c r="B52" s="34">
        <v>13227</v>
      </c>
      <c r="C52" s="34">
        <v>11827</v>
      </c>
      <c r="D52" s="24">
        <v>9708</v>
      </c>
    </row>
    <row r="53" spans="1:7" x14ac:dyDescent="0.25">
      <c r="A53" s="18" t="s">
        <v>104</v>
      </c>
      <c r="B53" s="42">
        <f>SUM(B50:B52)</f>
        <v>155393</v>
      </c>
      <c r="C53" s="42">
        <f t="shared" ref="C53:D53" si="4">SUM(C50:C52)</f>
        <v>142266</v>
      </c>
      <c r="D53" s="42">
        <f t="shared" si="4"/>
        <v>126385</v>
      </c>
      <c r="G53" s="23"/>
    </row>
    <row r="54" spans="1:7" x14ac:dyDescent="0.25">
      <c r="A54" s="14" t="s">
        <v>105</v>
      </c>
      <c r="B54" s="15">
        <v>72968</v>
      </c>
      <c r="C54" s="15">
        <v>67651</v>
      </c>
      <c r="D54" s="24">
        <v>52573</v>
      </c>
    </row>
    <row r="55" spans="1:7" x14ac:dyDescent="0.25">
      <c r="A55" s="14" t="s">
        <v>106</v>
      </c>
      <c r="B55" s="15">
        <v>67150</v>
      </c>
      <c r="C55" s="15">
        <v>48744</v>
      </c>
      <c r="D55" s="24">
        <v>31816</v>
      </c>
    </row>
    <row r="56" spans="1:7" x14ac:dyDescent="0.25">
      <c r="A56" s="14" t="s">
        <v>107</v>
      </c>
      <c r="B56" s="15">
        <v>21121</v>
      </c>
      <c r="C56" s="15">
        <v>23643</v>
      </c>
      <c r="D56" s="24">
        <v>17017</v>
      </c>
    </row>
    <row r="57" spans="1:7" x14ac:dyDescent="0.25">
      <c r="A57" s="14" t="s">
        <v>98</v>
      </c>
      <c r="B57" s="15">
        <v>0</v>
      </c>
      <c r="C57" s="15">
        <v>0</v>
      </c>
      <c r="D57" s="15">
        <v>0</v>
      </c>
    </row>
    <row r="58" spans="1:7" x14ac:dyDescent="0.25">
      <c r="A58" s="41" t="s">
        <v>154</v>
      </c>
      <c r="B58" s="19">
        <f>SUM(B54:B57)</f>
        <v>161239</v>
      </c>
      <c r="C58" s="19">
        <f t="shared" ref="C58:D58" si="5">SUM(C54:C57)</f>
        <v>140038</v>
      </c>
      <c r="D58" s="19">
        <f t="shared" si="5"/>
        <v>101406</v>
      </c>
    </row>
    <row r="59" spans="1:7" x14ac:dyDescent="0.25">
      <c r="A59" s="41" t="s">
        <v>155</v>
      </c>
      <c r="B59" s="19">
        <f>SUM(B53,B58)</f>
        <v>316632</v>
      </c>
      <c r="C59" s="19">
        <f t="shared" ref="C59:D59" si="6">SUM(C53,C58)</f>
        <v>282304</v>
      </c>
      <c r="D59" s="19">
        <f t="shared" si="6"/>
        <v>227791</v>
      </c>
    </row>
    <row r="60" spans="1:7" x14ac:dyDescent="0.25">
      <c r="A60" s="43" t="s">
        <v>99</v>
      </c>
      <c r="B60" s="16"/>
      <c r="C60" s="16"/>
    </row>
    <row r="61" spans="1:7" x14ac:dyDescent="0.25">
      <c r="A61" s="17" t="s">
        <v>108</v>
      </c>
      <c r="B61" s="36"/>
      <c r="C61" s="36"/>
    </row>
    <row r="62" spans="1:7" x14ac:dyDescent="0.25">
      <c r="A62" s="9" t="s">
        <v>100</v>
      </c>
      <c r="B62" s="15"/>
      <c r="C62" s="15"/>
    </row>
    <row r="63" spans="1:7" x14ac:dyDescent="0.25">
      <c r="A63" s="14" t="s">
        <v>109</v>
      </c>
      <c r="B63" s="44">
        <v>108</v>
      </c>
      <c r="C63" s="44">
        <v>106</v>
      </c>
      <c r="D63" s="25">
        <v>5</v>
      </c>
    </row>
    <row r="64" spans="1:7" x14ac:dyDescent="0.25">
      <c r="A64" s="14" t="s">
        <v>110</v>
      </c>
      <c r="B64" s="44">
        <v>-7837</v>
      </c>
      <c r="C64" s="44">
        <v>-1837</v>
      </c>
      <c r="D64" s="25">
        <v>-1837</v>
      </c>
    </row>
    <row r="65" spans="1:8" x14ac:dyDescent="0.25">
      <c r="A65" s="14" t="s">
        <v>111</v>
      </c>
      <c r="B65" s="44">
        <v>75066</v>
      </c>
      <c r="C65" s="44">
        <v>55437</v>
      </c>
      <c r="D65" s="25">
        <v>42865</v>
      </c>
    </row>
    <row r="66" spans="1:8" x14ac:dyDescent="0.25">
      <c r="A66" s="14" t="s">
        <v>112</v>
      </c>
      <c r="B66" s="44">
        <v>-4487</v>
      </c>
      <c r="C66" s="44">
        <v>-1376</v>
      </c>
      <c r="D66" s="25">
        <v>-180</v>
      </c>
      <c r="H66" s="25"/>
    </row>
    <row r="67" spans="1:8" ht="16.5" thickBot="1" x14ac:dyDescent="0.3">
      <c r="A67" s="17" t="s">
        <v>113</v>
      </c>
      <c r="B67" s="45">
        <v>83193</v>
      </c>
      <c r="C67" s="45">
        <v>85915</v>
      </c>
      <c r="D67" s="25">
        <v>52551</v>
      </c>
    </row>
    <row r="68" spans="1:8" ht="16.5" thickBot="1" x14ac:dyDescent="0.3">
      <c r="A68" s="27" t="s">
        <v>114</v>
      </c>
      <c r="B68" s="35">
        <f>SUM(B63:B67)</f>
        <v>146043</v>
      </c>
      <c r="C68" s="35">
        <f>SUM(C63:C67)</f>
        <v>138245</v>
      </c>
      <c r="D68" s="35">
        <f>SUM(D63:D67)</f>
        <v>93404</v>
      </c>
      <c r="G68" s="25"/>
    </row>
    <row r="69" spans="1:8" ht="16.5" thickBot="1" x14ac:dyDescent="0.3">
      <c r="A69" s="27" t="s">
        <v>115</v>
      </c>
      <c r="B69" s="35">
        <f>SUM(B59,B68)</f>
        <v>462675</v>
      </c>
      <c r="C69" s="35">
        <f t="shared" ref="C69:D69" si="7">SUM(C59,C68)</f>
        <v>420549</v>
      </c>
      <c r="D69" s="35">
        <f t="shared" si="7"/>
        <v>321195</v>
      </c>
    </row>
    <row r="70" spans="1:8" x14ac:dyDescent="0.25">
      <c r="A70" s="14"/>
      <c r="B70" s="15"/>
      <c r="C70" s="15"/>
      <c r="D70" s="15"/>
    </row>
    <row r="71" spans="1:8" x14ac:dyDescent="0.25">
      <c r="A71" s="14"/>
      <c r="B71" s="15"/>
      <c r="C71" s="15"/>
      <c r="D71" s="15"/>
    </row>
    <row r="72" spans="1:8" x14ac:dyDescent="0.25">
      <c r="A72" s="14"/>
      <c r="B72" s="15"/>
      <c r="C72" s="15"/>
      <c r="D72" s="15"/>
    </row>
    <row r="73" spans="1:8" x14ac:dyDescent="0.25">
      <c r="A73" s="20"/>
      <c r="B73" s="36"/>
      <c r="C73" s="36"/>
      <c r="D73" s="36"/>
    </row>
    <row r="74" spans="1:8" x14ac:dyDescent="0.25">
      <c r="A74" s="20"/>
      <c r="B74" s="36"/>
      <c r="C74" s="36"/>
      <c r="D74" s="36"/>
    </row>
    <row r="76" spans="1:8" x14ac:dyDescent="0.25">
      <c r="A76" s="10" t="s">
        <v>13</v>
      </c>
      <c r="B76" s="10"/>
      <c r="C76" s="10"/>
      <c r="D76" s="10"/>
    </row>
    <row r="77" spans="1:8" x14ac:dyDescent="0.25">
      <c r="B77" s="11" t="s">
        <v>59</v>
      </c>
      <c r="C77" s="11"/>
      <c r="D77" s="11"/>
    </row>
    <row r="78" spans="1:8" x14ac:dyDescent="0.25">
      <c r="B78" s="12">
        <f>B4</f>
        <v>2022</v>
      </c>
      <c r="C78" s="12">
        <f t="shared" ref="C78:D78" si="8">C4</f>
        <v>2021</v>
      </c>
      <c r="D78" s="12">
        <f t="shared" si="8"/>
        <v>2020</v>
      </c>
    </row>
    <row r="79" spans="1:8" x14ac:dyDescent="0.25">
      <c r="A79" s="9" t="s">
        <v>116</v>
      </c>
    </row>
    <row r="80" spans="1:8" x14ac:dyDescent="0.25">
      <c r="A80" s="9" t="s">
        <v>123</v>
      </c>
      <c r="B80" s="19">
        <v>36477</v>
      </c>
      <c r="C80" s="19">
        <v>42377</v>
      </c>
      <c r="D80" s="19">
        <v>36410</v>
      </c>
    </row>
    <row r="81" spans="1:9" x14ac:dyDescent="0.25">
      <c r="A81" s="9" t="s">
        <v>117</v>
      </c>
    </row>
    <row r="82" spans="1:9" x14ac:dyDescent="0.25">
      <c r="A82" s="32" t="s">
        <v>124</v>
      </c>
      <c r="B82" s="19">
        <f>B25</f>
        <v>-2722</v>
      </c>
      <c r="C82" s="19">
        <f t="shared" ref="C82:D82" si="9">C25</f>
        <v>33364</v>
      </c>
      <c r="D82" s="19">
        <f t="shared" si="9"/>
        <v>21331</v>
      </c>
    </row>
    <row r="83" spans="1:9" x14ac:dyDescent="0.25">
      <c r="A83" s="14" t="s">
        <v>118</v>
      </c>
      <c r="B83" s="15"/>
      <c r="C83" s="15"/>
      <c r="D83" s="15"/>
    </row>
    <row r="84" spans="1:9" x14ac:dyDescent="0.25">
      <c r="A84" s="37" t="s">
        <v>119</v>
      </c>
    </row>
    <row r="85" spans="1:9" x14ac:dyDescent="0.25">
      <c r="A85" s="37" t="s">
        <v>125</v>
      </c>
      <c r="B85" s="15">
        <v>41921</v>
      </c>
      <c r="C85" s="15">
        <v>34433</v>
      </c>
      <c r="D85" s="15">
        <v>25180</v>
      </c>
    </row>
    <row r="86" spans="1:9" x14ac:dyDescent="0.25">
      <c r="A86" s="37" t="s">
        <v>126</v>
      </c>
      <c r="B86" s="15">
        <v>19621</v>
      </c>
      <c r="C86" s="15">
        <v>12757</v>
      </c>
      <c r="D86" s="15">
        <v>9208</v>
      </c>
    </row>
    <row r="87" spans="1:9" x14ac:dyDescent="0.25">
      <c r="A87" s="37" t="s">
        <v>127</v>
      </c>
      <c r="B87" s="15">
        <v>16966</v>
      </c>
      <c r="C87" s="15">
        <v>-14306</v>
      </c>
      <c r="D87" s="15">
        <v>-2582</v>
      </c>
      <c r="I87" s="23"/>
    </row>
    <row r="88" spans="1:9" x14ac:dyDescent="0.25">
      <c r="A88" s="9" t="s">
        <v>128</v>
      </c>
      <c r="B88" s="15">
        <v>-8148</v>
      </c>
      <c r="C88" s="15">
        <v>-310</v>
      </c>
      <c r="D88" s="15">
        <v>-554</v>
      </c>
    </row>
    <row r="89" spans="1:9" x14ac:dyDescent="0.25">
      <c r="A89" s="32" t="s">
        <v>120</v>
      </c>
    </row>
    <row r="90" spans="1:9" x14ac:dyDescent="0.25">
      <c r="A90" s="14" t="s">
        <v>129</v>
      </c>
      <c r="B90" s="15">
        <v>-2592</v>
      </c>
      <c r="C90" s="15">
        <v>-9487</v>
      </c>
      <c r="D90" s="15">
        <v>-2849</v>
      </c>
    </row>
    <row r="91" spans="1:9" x14ac:dyDescent="0.25">
      <c r="A91" s="14" t="s">
        <v>130</v>
      </c>
      <c r="B91" s="15">
        <v>-21897</v>
      </c>
      <c r="C91" s="15">
        <v>-18163</v>
      </c>
      <c r="D91" s="15">
        <v>-8169</v>
      </c>
    </row>
    <row r="92" spans="1:9" x14ac:dyDescent="0.25">
      <c r="A92" s="14" t="s">
        <v>131</v>
      </c>
      <c r="B92" s="15">
        <v>2945</v>
      </c>
      <c r="C92" s="15">
        <v>3602</v>
      </c>
      <c r="D92" s="15">
        <v>17480</v>
      </c>
    </row>
    <row r="93" spans="1:9" x14ac:dyDescent="0.25">
      <c r="A93" s="14" t="s">
        <v>102</v>
      </c>
      <c r="B93" s="15">
        <v>-1558</v>
      </c>
      <c r="C93" s="15">
        <v>2123</v>
      </c>
      <c r="D93" s="15">
        <v>5754</v>
      </c>
    </row>
    <row r="94" spans="1:9" x14ac:dyDescent="0.25">
      <c r="A94" s="14" t="s">
        <v>132</v>
      </c>
      <c r="B94" s="15">
        <v>2216</v>
      </c>
      <c r="C94" s="15">
        <v>2314</v>
      </c>
      <c r="D94" s="15">
        <v>1265</v>
      </c>
    </row>
    <row r="95" spans="1:9" x14ac:dyDescent="0.25">
      <c r="A95" s="41" t="s">
        <v>133</v>
      </c>
      <c r="B95" s="19">
        <f>SUM(B85:B94,B82)</f>
        <v>46752</v>
      </c>
      <c r="C95" s="19">
        <f>SUM(C85:C94,C82)</f>
        <v>46327</v>
      </c>
      <c r="D95" s="19">
        <f>SUM(D85:D94,D82)</f>
        <v>66064</v>
      </c>
      <c r="F95" s="23"/>
      <c r="G95" s="23"/>
    </row>
    <row r="96" spans="1:9" x14ac:dyDescent="0.25">
      <c r="A96" s="20" t="s">
        <v>121</v>
      </c>
    </row>
    <row r="97" spans="1:6" x14ac:dyDescent="0.25">
      <c r="A97" s="9" t="s">
        <v>134</v>
      </c>
      <c r="B97" s="15">
        <v>-63645</v>
      </c>
      <c r="C97" s="15">
        <v>-61053</v>
      </c>
      <c r="D97" s="15">
        <v>-40140</v>
      </c>
    </row>
    <row r="98" spans="1:6" x14ac:dyDescent="0.25">
      <c r="A98" s="14" t="s">
        <v>135</v>
      </c>
      <c r="B98" s="15">
        <v>5324</v>
      </c>
      <c r="C98" s="15">
        <v>5657</v>
      </c>
      <c r="D98" s="15">
        <v>5096</v>
      </c>
    </row>
    <row r="99" spans="1:6" x14ac:dyDescent="0.25">
      <c r="A99" s="14" t="s">
        <v>136</v>
      </c>
      <c r="B99" s="15">
        <v>-8316</v>
      </c>
      <c r="C99" s="15">
        <v>-1985</v>
      </c>
      <c r="D99" s="15">
        <v>-2325</v>
      </c>
    </row>
    <row r="100" spans="1:6" x14ac:dyDescent="0.25">
      <c r="A100" s="14" t="s">
        <v>137</v>
      </c>
      <c r="B100" s="15">
        <v>31601</v>
      </c>
      <c r="C100" s="15">
        <v>59384</v>
      </c>
      <c r="D100" s="15">
        <v>50237</v>
      </c>
    </row>
    <row r="101" spans="1:6" x14ac:dyDescent="0.25">
      <c r="A101" s="14" t="s">
        <v>138</v>
      </c>
      <c r="B101" s="15">
        <v>-2565</v>
      </c>
      <c r="C101" s="15">
        <v>-60157</v>
      </c>
      <c r="D101" s="15">
        <v>-72479</v>
      </c>
    </row>
    <row r="102" spans="1:6" x14ac:dyDescent="0.25">
      <c r="A102" s="41" t="s">
        <v>139</v>
      </c>
      <c r="B102" s="19">
        <f>SUM(B97:B101)</f>
        <v>-37601</v>
      </c>
      <c r="C102" s="19">
        <f>SUM(C97:C101)</f>
        <v>-58154</v>
      </c>
      <c r="D102" s="19">
        <f>SUM(D97:D101)</f>
        <v>-59611</v>
      </c>
      <c r="F102" s="23"/>
    </row>
    <row r="103" spans="1:6" x14ac:dyDescent="0.25">
      <c r="A103" s="32" t="s">
        <v>122</v>
      </c>
    </row>
    <row r="104" spans="1:6" x14ac:dyDescent="0.25">
      <c r="A104" s="14" t="s">
        <v>141</v>
      </c>
      <c r="B104" s="15">
        <v>-6000</v>
      </c>
      <c r="C104" s="15" t="s">
        <v>140</v>
      </c>
      <c r="D104" s="15" t="s">
        <v>142</v>
      </c>
    </row>
    <row r="105" spans="1:6" x14ac:dyDescent="0.25">
      <c r="A105" s="40" t="s">
        <v>143</v>
      </c>
      <c r="B105" s="44">
        <v>41553</v>
      </c>
      <c r="C105" s="44">
        <v>7956</v>
      </c>
      <c r="D105" s="44">
        <v>6796</v>
      </c>
    </row>
    <row r="106" spans="1:6" x14ac:dyDescent="0.25">
      <c r="A106" s="17" t="s">
        <v>144</v>
      </c>
      <c r="B106" s="25">
        <v>-37554</v>
      </c>
      <c r="C106" s="25">
        <v>-7753</v>
      </c>
      <c r="D106" s="25">
        <v>-6177</v>
      </c>
    </row>
    <row r="107" spans="1:6" x14ac:dyDescent="0.25">
      <c r="A107" s="17" t="s">
        <v>145</v>
      </c>
      <c r="B107" s="44">
        <v>21166</v>
      </c>
      <c r="C107" s="44">
        <v>19003</v>
      </c>
      <c r="D107" s="44">
        <v>10525</v>
      </c>
    </row>
    <row r="108" spans="1:6" x14ac:dyDescent="0.25">
      <c r="A108" s="14" t="s">
        <v>146</v>
      </c>
      <c r="B108" s="44">
        <v>-1258</v>
      </c>
      <c r="C108" s="44">
        <v>-1590</v>
      </c>
      <c r="D108" s="44">
        <v>-1553</v>
      </c>
    </row>
    <row r="109" spans="1:6" x14ac:dyDescent="0.25">
      <c r="A109" s="14" t="s">
        <v>147</v>
      </c>
      <c r="B109" s="44">
        <v>-7941</v>
      </c>
      <c r="C109" s="44">
        <v>-11163</v>
      </c>
      <c r="D109" s="44">
        <v>-10642</v>
      </c>
    </row>
    <row r="110" spans="1:6" x14ac:dyDescent="0.25">
      <c r="A110" s="14" t="s">
        <v>148</v>
      </c>
      <c r="B110" s="44">
        <v>-248</v>
      </c>
      <c r="C110" s="44">
        <v>-162</v>
      </c>
      <c r="D110" s="44">
        <v>-53</v>
      </c>
    </row>
    <row r="111" spans="1:6" x14ac:dyDescent="0.25">
      <c r="A111" s="41" t="s">
        <v>149</v>
      </c>
      <c r="B111" s="19">
        <f>SUM(B104:B110)</f>
        <v>9718</v>
      </c>
      <c r="C111" s="19">
        <f t="shared" ref="C111:D111" si="10">SUM(C104:C110)</f>
        <v>6291</v>
      </c>
      <c r="D111" s="19">
        <f t="shared" si="10"/>
        <v>-1104</v>
      </c>
      <c r="F111" s="23"/>
    </row>
    <row r="112" spans="1:6" ht="16.5" thickBot="1" x14ac:dyDescent="0.3">
      <c r="A112" s="14" t="s">
        <v>150</v>
      </c>
      <c r="B112" s="15">
        <v>-1093</v>
      </c>
      <c r="C112" s="15">
        <v>-364</v>
      </c>
      <c r="D112" s="15">
        <v>618</v>
      </c>
    </row>
    <row r="113" spans="1:6" ht="16.5" thickBot="1" x14ac:dyDescent="0.3">
      <c r="A113" s="38" t="s">
        <v>151</v>
      </c>
      <c r="B113" s="35">
        <f>SUM(B95,B102,B111,B112)</f>
        <v>17776</v>
      </c>
      <c r="C113" s="35">
        <f t="shared" ref="C113:D113" si="11">SUM(C95,C102,C111,C112)</f>
        <v>-5900</v>
      </c>
      <c r="D113" s="35">
        <f t="shared" si="11"/>
        <v>5967</v>
      </c>
    </row>
    <row r="114" spans="1:6" ht="16.5" thickBot="1" x14ac:dyDescent="0.3">
      <c r="A114" s="38" t="s">
        <v>152</v>
      </c>
      <c r="B114" s="35">
        <f>B80+B113</f>
        <v>54253</v>
      </c>
      <c r="C114" s="35">
        <f t="shared" ref="C114:D114" si="12">C80+C113</f>
        <v>36477</v>
      </c>
      <c r="D114" s="35">
        <f t="shared" si="12"/>
        <v>42377</v>
      </c>
      <c r="F114" s="23"/>
    </row>
    <row r="115" spans="1:6" x14ac:dyDescent="0.25">
      <c r="A115" s="14"/>
      <c r="B115" s="15"/>
      <c r="C115" s="15"/>
      <c r="D115" s="15"/>
    </row>
    <row r="116" spans="1:6" x14ac:dyDescent="0.25">
      <c r="A116" s="20"/>
      <c r="B116" s="36"/>
      <c r="C116" s="36"/>
      <c r="D116" s="36"/>
    </row>
    <row r="117" spans="1:6" x14ac:dyDescent="0.25">
      <c r="A117" s="20" t="s">
        <v>156</v>
      </c>
      <c r="B117" s="36"/>
      <c r="C117" s="36"/>
      <c r="D117" s="36"/>
    </row>
    <row r="118" spans="1:6" x14ac:dyDescent="0.25">
      <c r="A118" s="17" t="s">
        <v>158</v>
      </c>
      <c r="B118" s="16">
        <v>1561</v>
      </c>
      <c r="C118" s="16">
        <v>1098</v>
      </c>
      <c r="D118" s="16">
        <v>916</v>
      </c>
    </row>
    <row r="119" spans="1:6" x14ac:dyDescent="0.25">
      <c r="A119" s="9" t="s">
        <v>159</v>
      </c>
      <c r="B119" s="15">
        <v>8633</v>
      </c>
      <c r="C119" s="15">
        <v>6722</v>
      </c>
      <c r="D119" s="15">
        <v>4475</v>
      </c>
    </row>
    <row r="120" spans="1:6" x14ac:dyDescent="0.25">
      <c r="A120" s="9" t="s">
        <v>160</v>
      </c>
      <c r="B120" s="15">
        <v>374</v>
      </c>
      <c r="C120" s="15">
        <v>521</v>
      </c>
      <c r="D120" s="15">
        <v>612</v>
      </c>
    </row>
    <row r="121" spans="1:6" x14ac:dyDescent="0.25">
      <c r="A121" s="9" t="s">
        <v>161</v>
      </c>
      <c r="B121" s="15">
        <v>207</v>
      </c>
      <c r="C121" s="15">
        <v>153</v>
      </c>
      <c r="D121" s="15">
        <v>102</v>
      </c>
    </row>
    <row r="122" spans="1:6" x14ac:dyDescent="0.25">
      <c r="A122" s="9" t="s">
        <v>162</v>
      </c>
      <c r="B122" s="15">
        <v>6035</v>
      </c>
      <c r="C122" s="15">
        <v>3688</v>
      </c>
      <c r="D122" s="15">
        <v>1713</v>
      </c>
    </row>
    <row r="123" spans="1:6" x14ac:dyDescent="0.25">
      <c r="A123" s="9" t="s">
        <v>163</v>
      </c>
      <c r="B123" s="24">
        <v>18800</v>
      </c>
      <c r="C123" s="24">
        <v>25369</v>
      </c>
      <c r="D123" s="24">
        <v>16217</v>
      </c>
    </row>
    <row r="124" spans="1:6" x14ac:dyDescent="0.25">
      <c r="A124" s="9" t="s">
        <v>157</v>
      </c>
    </row>
    <row r="125" spans="1:6" x14ac:dyDescent="0.25">
      <c r="A125" s="9" t="s">
        <v>164</v>
      </c>
      <c r="B125" s="9">
        <v>675</v>
      </c>
      <c r="C125" s="24">
        <v>7061</v>
      </c>
      <c r="D125" s="24">
        <v>11588</v>
      </c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tabSelected="1" topLeftCell="B2" workbookViewId="0">
      <selection activeCell="F13" sqref="F13"/>
    </sheetView>
  </sheetViews>
  <sheetFormatPr defaultRowHeight="15.75" x14ac:dyDescent="0.25"/>
  <cols>
    <col min="1" max="1" width="4.7109375" style="9" customWidth="1"/>
    <col min="2" max="2" width="44.85546875" style="9" customWidth="1"/>
    <col min="3" max="5" width="12.7109375" style="9" bestFit="1" customWidth="1"/>
    <col min="6" max="8" width="9.140625" style="9"/>
    <col min="9" max="9" width="36.42578125" style="9" customWidth="1"/>
    <col min="10" max="16384" width="9.140625" style="9"/>
  </cols>
  <sheetData>
    <row r="1" spans="1:12" ht="60" customHeight="1" x14ac:dyDescent="0.4">
      <c r="A1" s="7"/>
      <c r="B1" s="47" t="s">
        <v>183</v>
      </c>
      <c r="C1" s="48"/>
      <c r="D1" s="48"/>
      <c r="E1" s="48"/>
      <c r="F1" s="48"/>
      <c r="G1" s="48"/>
      <c r="H1" s="48"/>
      <c r="I1" s="48"/>
      <c r="J1" s="48"/>
    </row>
    <row r="2" spans="1:12" x14ac:dyDescent="0.25">
      <c r="C2" s="11" t="s">
        <v>59</v>
      </c>
      <c r="D2" s="11"/>
      <c r="E2" s="11"/>
    </row>
    <row r="3" spans="1:12" x14ac:dyDescent="0.25">
      <c r="C3" s="12">
        <f>'Financial Statements'!B4</f>
        <v>2022</v>
      </c>
      <c r="D3" s="12">
        <f>'Financial Statements'!C4</f>
        <v>2021</v>
      </c>
      <c r="E3" s="12">
        <f>'Financial Statements'!D4</f>
        <v>2020</v>
      </c>
      <c r="J3" s="12">
        <f>'Financial Statements'!B4</f>
        <v>2022</v>
      </c>
      <c r="K3" s="12">
        <f>'Financial Statements'!C4</f>
        <v>2021</v>
      </c>
      <c r="L3" s="12">
        <f>'Financial Statements'!D4</f>
        <v>2020</v>
      </c>
    </row>
    <row r="4" spans="1:12" x14ac:dyDescent="0.25">
      <c r="A4" s="49">
        <v>1</v>
      </c>
      <c r="B4" s="12" t="s">
        <v>14</v>
      </c>
    </row>
    <row r="5" spans="1:12" x14ac:dyDescent="0.25">
      <c r="A5" s="49">
        <f>+A4+0.1</f>
        <v>1.1000000000000001</v>
      </c>
      <c r="B5" s="14" t="s">
        <v>15</v>
      </c>
      <c r="C5" s="50">
        <f>'Financial Statements'!B41/'Financial Statements'!B53</f>
        <v>0.9446435811136924</v>
      </c>
      <c r="D5" s="50">
        <f>'Financial Statements'!C41/'Financial Statements'!C53</f>
        <v>1.1357597739445826</v>
      </c>
      <c r="E5" s="50">
        <f>'Financial Statements'!D41/'Financial Statements'!D53</f>
        <v>1.0502274795268425</v>
      </c>
      <c r="I5" s="12" t="s">
        <v>166</v>
      </c>
    </row>
    <row r="6" spans="1:12" x14ac:dyDescent="0.25">
      <c r="A6" s="49">
        <f t="shared" ref="A6:A13" si="0">+A5+0.1</f>
        <v>1.2000000000000002</v>
      </c>
      <c r="B6" s="14" t="s">
        <v>16</v>
      </c>
      <c r="C6" s="50">
        <f>('Financial Statements'!B37+'Financial Statements'!B40)/'Financial Statements'!B53</f>
        <v>0.6193843995546775</v>
      </c>
      <c r="D6" s="50">
        <f>('Financial Statements'!C37+'Financial Statements'!C40)/'Financial Statements'!C53</f>
        <v>0.48578718738138416</v>
      </c>
      <c r="E6" s="50">
        <f>('Financial Statements'!D37+'Financial Statements'!D40)/'Financial Statements'!D53</f>
        <v>0.52746765834553155</v>
      </c>
      <c r="I6" s="12" t="s">
        <v>167</v>
      </c>
    </row>
    <row r="7" spans="1:12" x14ac:dyDescent="0.25">
      <c r="A7" s="49">
        <f t="shared" si="0"/>
        <v>1.3000000000000003</v>
      </c>
      <c r="B7" s="14" t="s">
        <v>17</v>
      </c>
      <c r="C7" s="50">
        <f>'Financial Statements'!B114/'Financial Statements'!B53</f>
        <v>0.34913413088105644</v>
      </c>
      <c r="D7" s="50">
        <f>'Financial Statements'!C114/'Financial Statements'!C53</f>
        <v>0.25639998313019274</v>
      </c>
      <c r="E7" s="50">
        <f>'Financial Statements'!D114/'Financial Statements'!D53</f>
        <v>0.33530086640028484</v>
      </c>
      <c r="I7" s="14" t="s">
        <v>168</v>
      </c>
      <c r="J7" s="53">
        <f>('Financial Statements'!B6-'Financial Statements'!C6)/'Financial Statements'!C6</f>
        <v>4.6073610243726913E-3</v>
      </c>
      <c r="K7" s="53">
        <f>('Financial Statements'!C6-'Financial Statements'!D6)/'Financial Statements'!D6</f>
        <v>0.11982493110714865</v>
      </c>
      <c r="L7" s="53"/>
    </row>
    <row r="8" spans="1:12" x14ac:dyDescent="0.25">
      <c r="A8" s="49">
        <f t="shared" si="0"/>
        <v>1.4000000000000004</v>
      </c>
      <c r="B8" s="14" t="s">
        <v>18</v>
      </c>
      <c r="C8" s="56">
        <f>('Financial Statements'!B37+'Financial Statements'!B38+'Financial Statements'!B39)/('Financial Statements'!B16/365)</f>
        <v>75.971010593241459</v>
      </c>
      <c r="D8" s="56">
        <f>('Financial Statements'!C37+'Financial Statements'!C38+'Financial Statements'!C39)/('Financial Statements'!C16/365)</f>
        <v>105.56742099549831</v>
      </c>
      <c r="E8" s="56">
        <f>('Financial Statements'!D37+'Financial Statements'!D38+'Financial Statements'!D39)/('Financial Statements'!D16/365)</f>
        <v>108.73766745143392</v>
      </c>
      <c r="I8" s="39" t="s">
        <v>169</v>
      </c>
      <c r="J8" s="59">
        <f>('Financial Statements'!B7-'Financial Statements'!C7)/'Financial Statements'!C7</f>
        <v>0.18877365316727696</v>
      </c>
      <c r="K8" s="59">
        <f>('Financial Statements'!C7-'Financial Statements'!D7)/'Financial Statements'!D7</f>
        <v>0.34020770030972852</v>
      </c>
    </row>
    <row r="9" spans="1:12" x14ac:dyDescent="0.25">
      <c r="A9" s="49">
        <f t="shared" si="0"/>
        <v>1.5000000000000004</v>
      </c>
      <c r="B9" s="14" t="s">
        <v>19</v>
      </c>
      <c r="C9" s="56">
        <f>(AVERAGE('Financial Statements'!B39:C39)/'Financial Statements'!B10)*365</f>
        <v>42.362878292150086</v>
      </c>
      <c r="D9" s="56">
        <f>(AVERAGE('Financial Statements'!C39:D39)/'Financial Statements'!C10)*365</f>
        <v>37.817567120994035</v>
      </c>
      <c r="E9" s="56">
        <f>(AVERAGE('Financial Statements'!D39:E39)/'Financial Statements'!D10)*365</f>
        <v>37.226379834295585</v>
      </c>
      <c r="I9" s="9" t="s">
        <v>62</v>
      </c>
      <c r="J9" s="53">
        <f>('Financial Statements'!B8-'Financial Statements'!C8)/'Financial Statements'!C8</f>
        <v>9.3995172639850841E-2</v>
      </c>
      <c r="K9" s="53">
        <f>('Financial Statements'!C8-'Financial Statements'!D8)/'Financial Statements'!D8</f>
        <v>0.21695366571345684</v>
      </c>
    </row>
    <row r="10" spans="1:12" x14ac:dyDescent="0.25">
      <c r="A10" s="49">
        <f t="shared" si="0"/>
        <v>1.6000000000000005</v>
      </c>
      <c r="B10" s="14" t="s">
        <v>20</v>
      </c>
      <c r="C10" s="56">
        <f>(AVERAGE('Financial Statements'!B50:C50)/'Financial Statements'!B10)*365</f>
        <v>100.00027697857917</v>
      </c>
      <c r="D10" s="56">
        <f>(AVERAGE('Financial Statements'!C50:D50)/'Financial Statements'!C10)*365</f>
        <v>101.32239924507242</v>
      </c>
      <c r="E10" s="56">
        <f>(AVERAGE('Financial Statements'!D50:E50)/'Financial Statements'!D10)*365</f>
        <v>113.48452896826929</v>
      </c>
      <c r="I10" s="46" t="s">
        <v>181</v>
      </c>
      <c r="J10" s="62">
        <f>('Financial Statements'!B10-'Financial Statements'!C10)/'Financial Statements'!C10</f>
        <v>6.0537408571512498E-2</v>
      </c>
      <c r="K10" s="62">
        <f>('Financial Statements'!C10-'Financial Statements'!D10)/'Financial Statements'!D10</f>
        <v>0.16732031186376747</v>
      </c>
    </row>
    <row r="11" spans="1:12" x14ac:dyDescent="0.25">
      <c r="A11" s="49">
        <f t="shared" si="0"/>
        <v>1.7000000000000006</v>
      </c>
      <c r="B11" s="14" t="s">
        <v>21</v>
      </c>
      <c r="C11" s="56">
        <f>(AVERAGE('Financial Statements'!B40:C40)/'Financial Statements'!B8)*365</f>
        <v>26.719380796641133</v>
      </c>
      <c r="D11" s="56">
        <f>(AVERAGE('Financial Statements'!C40:D40)/'Financial Statements'!C8)*365</f>
        <v>22.30956085496209</v>
      </c>
      <c r="E11" s="56">
        <f>(AVERAGE('Financial Statements'!D40:E40)/'Financial Statements'!D8)*365</f>
        <v>23.202966347548593</v>
      </c>
      <c r="I11" s="9" t="s">
        <v>182</v>
      </c>
      <c r="J11" s="53">
        <f>('Financial Statements'!B16-'Financial Statements'!C16)/'Financial Statements'!C16</f>
        <v>0.12763882115237232</v>
      </c>
      <c r="K11" s="53">
        <f>('Financial Statements'!C16-'Financial Statements'!D16)/'Financial Statements'!D16</f>
        <v>0.22518139137857449</v>
      </c>
    </row>
    <row r="12" spans="1:12" x14ac:dyDescent="0.25">
      <c r="A12" s="49">
        <f t="shared" si="0"/>
        <v>1.8000000000000007</v>
      </c>
      <c r="B12" s="14" t="s">
        <v>22</v>
      </c>
      <c r="C12" s="56">
        <f>ABS(C9+C11-C10)</f>
        <v>30.918017889787947</v>
      </c>
      <c r="D12" s="56">
        <f t="shared" ref="D12:E12" si="1">ABS(D9+D11-D10)</f>
        <v>41.19527126911629</v>
      </c>
      <c r="E12" s="56">
        <f t="shared" si="1"/>
        <v>53.055182786425107</v>
      </c>
      <c r="I12" s="12"/>
      <c r="J12" s="53"/>
      <c r="K12" s="53"/>
    </row>
    <row r="13" spans="1:12" x14ac:dyDescent="0.25">
      <c r="A13" s="49">
        <f t="shared" si="0"/>
        <v>1.9000000000000008</v>
      </c>
      <c r="B13" s="14" t="s">
        <v>23</v>
      </c>
      <c r="C13" s="53">
        <f>C14/'Financial Statements'!B8</f>
        <v>-1.6735962084349094E-2</v>
      </c>
      <c r="D13" s="53">
        <f>D14/'Financial Statements'!C8</f>
        <v>4.1109186032156859E-2</v>
      </c>
      <c r="E13" s="53">
        <f>E14/'Financial Statements'!D8</f>
        <v>1.6442869576028845E-2</v>
      </c>
      <c r="I13" s="12" t="s">
        <v>170</v>
      </c>
    </row>
    <row r="14" spans="1:12" x14ac:dyDescent="0.25">
      <c r="A14" s="49"/>
      <c r="B14" s="37" t="s">
        <v>24</v>
      </c>
      <c r="C14" s="24">
        <f>'Financial Statements'!B41-'Financial Statements'!B53</f>
        <v>-8602</v>
      </c>
      <c r="D14" s="24">
        <f>'Financial Statements'!C41-'Financial Statements'!C53</f>
        <v>19314</v>
      </c>
      <c r="E14" s="24">
        <f>'Financial Statements'!D41-'Financial Statements'!D53</f>
        <v>6348</v>
      </c>
      <c r="I14" s="9" t="s">
        <v>171</v>
      </c>
      <c r="J14" s="60">
        <f>('Financial Statements'!B41-'Financial Statements'!C41)/'Financial Statements'!C41</f>
        <v>-9.1527416759499935E-2</v>
      </c>
      <c r="K14" s="60">
        <f>('Financial Statements'!C41-'Financial Statements'!D41)/'Financial Statements'!D41</f>
        <v>0.21733103297597434</v>
      </c>
      <c r="L14" s="16"/>
    </row>
    <row r="15" spans="1:12" x14ac:dyDescent="0.25">
      <c r="A15" s="49"/>
      <c r="I15" s="9" t="s">
        <v>172</v>
      </c>
      <c r="J15" s="60">
        <f>('Financial Statements'!B46-'Financial Statements'!C46)/'Financial Statements'!C46</f>
        <v>0.21977533990554854</v>
      </c>
      <c r="K15" s="60">
        <f>('Financial Statements'!C46-'Financial Statements'!D46)/'Financial Statements'!D46</f>
        <v>0.37411785930320168</v>
      </c>
      <c r="L15" s="60"/>
    </row>
    <row r="16" spans="1:12" x14ac:dyDescent="0.25">
      <c r="A16" s="49">
        <f>+A4+1</f>
        <v>2</v>
      </c>
      <c r="B16" s="51" t="s">
        <v>25</v>
      </c>
      <c r="I16" s="9" t="s">
        <v>96</v>
      </c>
      <c r="J16" s="60">
        <f>('Financial Statements'!B47-'Financial Statements'!C47)/'Financial Statements'!C47</f>
        <v>0.10016906472254125</v>
      </c>
      <c r="K16" s="60">
        <f>('Financial Statements'!C47-'Financial Statements'!D47)/'Financial Statements'!D47</f>
        <v>0.30932611030682294</v>
      </c>
      <c r="L16" s="16"/>
    </row>
    <row r="17" spans="1:12" x14ac:dyDescent="0.25">
      <c r="A17" s="49">
        <f>+A16+0.1</f>
        <v>2.1</v>
      </c>
      <c r="B17" s="14" t="s">
        <v>11</v>
      </c>
      <c r="C17" s="53">
        <f>('Financial Statements'!B8-'Financial Statements'!B10)/'Financial Statements'!B8</f>
        <v>0.43805339865326287</v>
      </c>
      <c r="D17" s="53">
        <f>('Financial Statements'!C8-'Financial Statements'!C10)/'Financial Statements'!C8</f>
        <v>0.42032514441639601</v>
      </c>
      <c r="E17" s="53">
        <f>('Financial Statements'!D8-'Financial Statements'!D10)/'Financial Statements'!D8</f>
        <v>0.3956779186870571</v>
      </c>
      <c r="I17" s="9" t="s">
        <v>173</v>
      </c>
      <c r="J17" s="60">
        <f>('Financial Statements'!B53-'Financial Statements'!C53)/'Financial Statements'!C53</f>
        <v>9.2270816639253225E-2</v>
      </c>
      <c r="K17" s="60">
        <f>('Financial Statements'!C53-'Financial Statements'!D53)/'Financial Statements'!D53</f>
        <v>0.12565573446215927</v>
      </c>
      <c r="L17" s="16"/>
    </row>
    <row r="18" spans="1:12" x14ac:dyDescent="0.25">
      <c r="A18" s="49">
        <f>+A17+0.1</f>
        <v>2.2000000000000002</v>
      </c>
      <c r="B18" s="14" t="s">
        <v>26</v>
      </c>
      <c r="C18" s="53">
        <f>C19/'Financial Statements'!B8</f>
        <v>0.10842771064412636</v>
      </c>
      <c r="D18" s="53">
        <f>D19/'Financial Statements'!C8</f>
        <v>0.12858061138048027</v>
      </c>
      <c r="E18" s="53">
        <f>E19/'Financial Statements'!D8</f>
        <v>0.12690900990509346</v>
      </c>
      <c r="I18" s="58" t="s">
        <v>174</v>
      </c>
      <c r="J18" s="60">
        <f>('Financial Statements'!B58-'Financial Statements'!C58)/'Financial Statements'!C58</f>
        <v>0.15139462145988947</v>
      </c>
      <c r="K18" s="60">
        <f>('Financial Statements'!C58-'Financial Statements'!D58)/'Financial Statements'!D58</f>
        <v>0.38096365106601188</v>
      </c>
      <c r="L18" s="16"/>
    </row>
    <row r="19" spans="1:12" x14ac:dyDescent="0.25">
      <c r="A19" s="49"/>
      <c r="B19" s="37" t="s">
        <v>27</v>
      </c>
      <c r="C19" s="61">
        <f>'Financial Statements'!B17+'Financial Statements'!B85+'Financial Statements'!B118</f>
        <v>55730</v>
      </c>
      <c r="D19" s="61">
        <f>'Financial Statements'!C17+'Financial Statements'!C85+'Financial Statements'!C118</f>
        <v>60410</v>
      </c>
      <c r="E19" s="61">
        <f>'Financial Statements'!D17+'Financial Statements'!D85+'Financial Statements'!D118</f>
        <v>48995</v>
      </c>
      <c r="I19" s="9" t="s">
        <v>175</v>
      </c>
      <c r="J19" s="60">
        <f>('Financial Statements'!B59-'Financial Statements'!C59)/'Financial Statements'!C59</f>
        <v>0.12159941056449784</v>
      </c>
      <c r="K19" s="60">
        <f>('Financial Statements'!C59-'Financial Statements'!D59)/'Financial Statements'!D59</f>
        <v>0.23931147411442946</v>
      </c>
      <c r="L19" s="16"/>
    </row>
    <row r="20" spans="1:12" x14ac:dyDescent="0.25">
      <c r="A20" s="49">
        <f>+A18+0.1</f>
        <v>2.3000000000000003</v>
      </c>
      <c r="B20" s="14" t="s">
        <v>28</v>
      </c>
      <c r="C20" s="53">
        <f>C21/'Financial Statements'!B8</f>
        <v>9.4828039059657622E-3</v>
      </c>
      <c r="D20" s="53">
        <f>D21/'Financial Statements'!C8</f>
        <v>8.1200965472029832E-2</v>
      </c>
      <c r="E20" s="53">
        <f>E21/'Financial Statements'!D8</f>
        <v>6.2062248746321852E-2</v>
      </c>
      <c r="I20" s="9" t="s">
        <v>176</v>
      </c>
      <c r="J20" s="60">
        <f>('Financial Statements'!B68-'Financial Statements'!C68)/'Financial Statements'!C68</f>
        <v>5.6407103331042714E-2</v>
      </c>
      <c r="K20" s="60">
        <f>('Financial Statements'!C68-'Financial Statements'!D68)/'Financial Statements'!D68</f>
        <v>0.48007579975161663</v>
      </c>
      <c r="L20" s="16"/>
    </row>
    <row r="21" spans="1:12" x14ac:dyDescent="0.25">
      <c r="A21" s="49"/>
      <c r="B21" s="37" t="s">
        <v>29</v>
      </c>
      <c r="C21" s="57">
        <f>'Financial Statements'!B25+'Financial Statements'!B118+'Financial Statements'!B122</f>
        <v>4874</v>
      </c>
      <c r="D21" s="57">
        <f>'Financial Statements'!C25+'Financial Statements'!C118+'Financial Statements'!C122</f>
        <v>38150</v>
      </c>
      <c r="E21" s="57">
        <f>'Financial Statements'!D25+'Financial Statements'!D118+'Financial Statements'!D122</f>
        <v>23960</v>
      </c>
      <c r="I21" s="9" t="s">
        <v>177</v>
      </c>
      <c r="J21" s="60">
        <f>('Financial Statements'!B69-'Financial Statements'!C69)/'Financial Statements'!C69</f>
        <v>0.10016906472254125</v>
      </c>
      <c r="K21" s="60">
        <f>('Financial Statements'!C69-'Financial Statements'!D69)/'Financial Statements'!D69</f>
        <v>0.30932611030682294</v>
      </c>
      <c r="L21" s="16"/>
    </row>
    <row r="22" spans="1:12" x14ac:dyDescent="0.25">
      <c r="A22" s="49">
        <f>+A20+0.1</f>
        <v>2.4000000000000004</v>
      </c>
      <c r="B22" s="14" t="s">
        <v>30</v>
      </c>
      <c r="C22" s="53">
        <f>'Financial Statements'!B25/'Financial Statements'!B8</f>
        <v>-5.2958950004183018E-3</v>
      </c>
      <c r="D22" s="53">
        <f>'Financial Statements'!C25/'Financial Statements'!C8</f>
        <v>7.1014128755145567E-2</v>
      </c>
      <c r="E22" s="53">
        <f>'Financial Statements'!D25/'Financial Statements'!D8</f>
        <v>5.5252496995316841E-2</v>
      </c>
    </row>
    <row r="23" spans="1:12" x14ac:dyDescent="0.25">
      <c r="A23" s="49"/>
      <c r="I23" s="12" t="s">
        <v>178</v>
      </c>
    </row>
    <row r="24" spans="1:12" x14ac:dyDescent="0.25">
      <c r="A24" s="49">
        <f>+A16+1</f>
        <v>3</v>
      </c>
      <c r="B24" s="12" t="s">
        <v>31</v>
      </c>
      <c r="I24" s="14" t="s">
        <v>179</v>
      </c>
      <c r="J24" s="53">
        <f>'Financial Statements'!B10/'Financial Statements'!B8</f>
        <v>0.56194660134673713</v>
      </c>
      <c r="K24" s="53">
        <f>'Financial Statements'!C10/'Financial Statements'!C8</f>
        <v>0.57967485558360399</v>
      </c>
      <c r="L24" s="53">
        <f>'Financial Statements'!D10/'Financial Statements'!D8</f>
        <v>0.60432208131294296</v>
      </c>
    </row>
    <row r="25" spans="1:12" x14ac:dyDescent="0.25">
      <c r="A25" s="49">
        <f>+A24+0.1</f>
        <v>3.1</v>
      </c>
      <c r="B25" s="14" t="s">
        <v>32</v>
      </c>
      <c r="C25" s="50">
        <f>('Financial Statements'!B59-'Financial Statements'!B52)/'Financial Statements'!B68</f>
        <v>2.0775045705716808</v>
      </c>
      <c r="D25" s="50">
        <f>('Financial Statements'!C59-'Financial Statements'!C52)/'Financial Statements'!C68</f>
        <v>1.9565047560490434</v>
      </c>
      <c r="E25" s="50">
        <f>('Financial Statements'!D59-'Financial Statements'!D52)/'Financial Statements'!D68</f>
        <v>2.3348357672048308</v>
      </c>
      <c r="I25" s="14" t="s">
        <v>180</v>
      </c>
      <c r="J25" s="53">
        <f>'Financial Statements'!B17/'Financial Statements'!B8</f>
        <v>2.3829581912242232E-2</v>
      </c>
      <c r="K25" s="53">
        <f>'Financial Statements'!C17/'Financial Statements'!C8</f>
        <v>5.2954097509269465E-2</v>
      </c>
      <c r="L25" s="53">
        <f>'Financial Statements'!D17/'Financial Statements'!D8</f>
        <v>5.9313999751336569E-2</v>
      </c>
    </row>
    <row r="26" spans="1:12" x14ac:dyDescent="0.25">
      <c r="A26" s="49">
        <f t="shared" ref="A26:A30" si="2">+A25+0.1</f>
        <v>3.2</v>
      </c>
      <c r="B26" s="14" t="s">
        <v>33</v>
      </c>
      <c r="C26" s="50">
        <f>('Financial Statements'!B59-'Financial Statements'!B52)/'Financial Statements'!B47</f>
        <v>0.65576268438969043</v>
      </c>
      <c r="D26" s="50">
        <f>('Financial Statements'!C59-'Financial Statements'!C52)/'Financial Statements'!C47</f>
        <v>0.6431521653838197</v>
      </c>
      <c r="E26" s="50">
        <f>('Financial Statements'!D59-'Financial Statements'!D52)/'Financial Statements'!D47</f>
        <v>0.67897383209576734</v>
      </c>
      <c r="I26" s="12" t="s">
        <v>70</v>
      </c>
      <c r="J26" s="53"/>
      <c r="K26" s="53"/>
      <c r="L26" s="53"/>
    </row>
    <row r="27" spans="1:12" x14ac:dyDescent="0.25">
      <c r="A27" s="49">
        <f t="shared" si="2"/>
        <v>3.3000000000000003</v>
      </c>
      <c r="B27" s="14" t="s">
        <v>34</v>
      </c>
      <c r="C27" s="50">
        <f>('Financial Statements'!B58-'Financial Statements'!B57)/'Financial Statements'!B69</f>
        <v>0.34849300264764682</v>
      </c>
      <c r="D27" s="50">
        <f>('Financial Statements'!C58-'Financial Statements'!C57)/'Financial Statements'!C69</f>
        <v>0.33298854592449395</v>
      </c>
      <c r="E27" s="50">
        <f>('Financial Statements'!D58-'Financial Statements'!D57)/'Financial Statements'!D69</f>
        <v>0.31571475272031008</v>
      </c>
      <c r="I27" s="14" t="s">
        <v>68</v>
      </c>
      <c r="J27" s="53">
        <f>'Financial Statements'!B11/'Financial Statements'!B8</f>
        <v>0.16401126107283703</v>
      </c>
      <c r="K27" s="53">
        <f>'Financial Statements'!C11/'Financial Statements'!C8</f>
        <v>0.15987118525739535</v>
      </c>
      <c r="L27" s="53">
        <f>'Financial Statements'!D11/'Financial Statements'!D8</f>
        <v>0.15157331426913673</v>
      </c>
    </row>
    <row r="28" spans="1:12" x14ac:dyDescent="0.25">
      <c r="A28" s="49">
        <f t="shared" si="2"/>
        <v>3.4000000000000004</v>
      </c>
      <c r="B28" s="14" t="s">
        <v>35</v>
      </c>
      <c r="C28" s="50">
        <f>C21/'Financial Statements'!B118</f>
        <v>3.1223574631646382</v>
      </c>
      <c r="D28" s="50">
        <f>D21/'Financial Statements'!C118</f>
        <v>34.744990892531874</v>
      </c>
      <c r="E28" s="50">
        <f>E21/'Financial Statements'!D118</f>
        <v>26.157205240174672</v>
      </c>
      <c r="I28" s="9" t="s">
        <v>67</v>
      </c>
      <c r="J28" s="53">
        <f>'Financial Statements'!B12/'Financial Statements'!B8</f>
        <v>0.14244245432241923</v>
      </c>
      <c r="K28" s="53">
        <f>'Financial Statements'!C12/'Financial Statements'!C8</f>
        <v>0.11930475797216818</v>
      </c>
      <c r="L28" s="53">
        <f>'Financial Statements'!D12/'Financial Statements'!D8</f>
        <v>0.11070703303079282</v>
      </c>
    </row>
    <row r="29" spans="1:12" x14ac:dyDescent="0.25">
      <c r="A29" s="49">
        <f t="shared" si="2"/>
        <v>3.5000000000000004</v>
      </c>
      <c r="B29" s="14" t="s">
        <v>36</v>
      </c>
      <c r="C29" s="50">
        <f>'Financial Statements'!B17/ABS('Financial Statements'!B108)</f>
        <v>9.7360890302066778</v>
      </c>
      <c r="D29" s="50">
        <f>'Financial Statements'!C17/ABS('Financial Statements'!C108)</f>
        <v>15.647169811320754</v>
      </c>
      <c r="E29" s="50">
        <f>'Financial Statements'!D17/ABS('Financial Statements'!D108)</f>
        <v>14.745009658725047</v>
      </c>
      <c r="I29" s="9" t="s">
        <v>66</v>
      </c>
      <c r="J29" s="53">
        <f>'Financial Statements'!B13/'Financial Statements'!B8</f>
        <v>8.2177815219569517E-2</v>
      </c>
      <c r="K29" s="53">
        <f>'Financial Statements'!C13/'Financial Statements'!C8</f>
        <v>6.9283686161993263E-2</v>
      </c>
      <c r="L29" s="53">
        <f>'Financial Statements'!D13/'Financial Statements'!D8</f>
        <v>5.7006092254134028E-2</v>
      </c>
    </row>
    <row r="30" spans="1:12" x14ac:dyDescent="0.25">
      <c r="A30" s="49">
        <f t="shared" si="2"/>
        <v>3.6000000000000005</v>
      </c>
      <c r="B30" s="14" t="s">
        <v>37</v>
      </c>
      <c r="C30" s="50">
        <f>C31/'Financial Statements'!B30</f>
        <v>0.41937383452743154</v>
      </c>
      <c r="D30" s="50">
        <f>D31/'Financial Statements'!C30</f>
        <v>0.41540404040404039</v>
      </c>
      <c r="E30" s="50">
        <f>E31/'Financial Statements'!D30</f>
        <v>3.5741321827809376</v>
      </c>
      <c r="I30" s="14" t="s">
        <v>65</v>
      </c>
      <c r="J30" s="53">
        <f>'Financial Statements'!B14/'Financial Statements'!B8</f>
        <v>2.3135006410717866E-2</v>
      </c>
      <c r="K30" s="53">
        <f>'Financial Statements'!C14/'Financial Statements'!C8</f>
        <v>1.8779452643767215E-2</v>
      </c>
      <c r="L30" s="53">
        <f>'Financial Statements'!D14/'Financial Statements'!D8</f>
        <v>1.7271747689502258E-2</v>
      </c>
    </row>
    <row r="31" spans="1:12" x14ac:dyDescent="0.25">
      <c r="A31" s="49"/>
      <c r="B31" s="37" t="s">
        <v>38</v>
      </c>
      <c r="C31" s="25">
        <f>'Financial Statements'!B95+'Financial Statements'!B97+'Financial Statements'!B107</f>
        <v>4273</v>
      </c>
      <c r="D31" s="25">
        <f>'Financial Statements'!C95+'Financial Statements'!C97+'Financial Statements'!C107</f>
        <v>4277</v>
      </c>
      <c r="E31" s="25">
        <f>'Financial Statements'!D95+'Financial Statements'!D97+'Financial Statements'!D107</f>
        <v>36449</v>
      </c>
      <c r="I31" s="14" t="s">
        <v>64</v>
      </c>
      <c r="J31" s="53">
        <f>'Financial Statements'!B15/'Financial Statements'!B8</f>
        <v>2.4572797154769712E-3</v>
      </c>
      <c r="K31" s="53">
        <f>'Financial Statements'!C15/'Financial Statements'!C8</f>
        <v>1.3196487180251244E-4</v>
      </c>
      <c r="L31" s="53">
        <f>'Financial Statements'!D15/'Financial Statements'!D8</f>
        <v>-1.9426830784533136E-4</v>
      </c>
    </row>
    <row r="32" spans="1:12" x14ac:dyDescent="0.25">
      <c r="A32" s="49"/>
      <c r="I32" s="9" t="s">
        <v>182</v>
      </c>
      <c r="J32" s="53">
        <f>'Financial Statements'!B16/'Financial Statements'!B8</f>
        <v>0.97617041808775773</v>
      </c>
      <c r="K32" s="53">
        <f>'Financial Statements'!C16/'Financial Statements'!C8</f>
        <v>0.94704590249073051</v>
      </c>
      <c r="L32" s="53">
        <f>'Financial Statements'!D16/'Financial Statements'!D8</f>
        <v>0.94068600024866345</v>
      </c>
    </row>
    <row r="33" spans="1:12" x14ac:dyDescent="0.25">
      <c r="A33" s="49">
        <f>+A24+1</f>
        <v>4</v>
      </c>
      <c r="B33" s="51" t="s">
        <v>39</v>
      </c>
    </row>
    <row r="34" spans="1:12" x14ac:dyDescent="0.25">
      <c r="A34" s="49">
        <f>+A33+0.1</f>
        <v>4.0999999999999996</v>
      </c>
      <c r="B34" s="14" t="s">
        <v>40</v>
      </c>
      <c r="C34" s="50">
        <f>'Financial Statements'!B8/AVERAGE('Financial Statements'!B47:C47)</f>
        <v>1.1638791518346421</v>
      </c>
      <c r="D34" s="50">
        <f>'Financial Statements'!C8/AVERAGE('Financial Statements'!C47:D47)</f>
        <v>1.2668036411484285</v>
      </c>
      <c r="E34" s="50">
        <f>'Financial Statements'!D8/AVERAGE('Financial Statements'!D47:E47)</f>
        <v>1.2019614253023865</v>
      </c>
      <c r="I34" s="32"/>
      <c r="J34"/>
      <c r="K34"/>
      <c r="L34"/>
    </row>
    <row r="35" spans="1:12" x14ac:dyDescent="0.25">
      <c r="A35" s="49">
        <f t="shared" ref="A35:A37" si="3">+A34+0.1</f>
        <v>4.1999999999999993</v>
      </c>
      <c r="B35" s="14" t="s">
        <v>41</v>
      </c>
      <c r="C35" s="50">
        <f>'Financial Statements'!B8/AVERAGE('Financial Statements'!B46:C46)</f>
        <v>1.7882241199054367</v>
      </c>
      <c r="D35" s="50">
        <f>'Financial Statements'!C8/AVERAGE('Financial Statements'!C46:D46)</f>
        <v>2.1000869407796956</v>
      </c>
      <c r="E35" s="50">
        <f>'Financial Statements'!D8/AVERAGE('Financial Statements'!D46:E46)</f>
        <v>2.048497840413452</v>
      </c>
      <c r="I35" s="14"/>
      <c r="J35" s="53"/>
      <c r="K35" s="53"/>
      <c r="L35" s="53"/>
    </row>
    <row r="36" spans="1:12" x14ac:dyDescent="0.25">
      <c r="A36" s="49">
        <f t="shared" si="3"/>
        <v>4.2999999999999989</v>
      </c>
      <c r="B36" s="14" t="s">
        <v>42</v>
      </c>
      <c r="C36" s="50">
        <f>'Financial Statements'!B10/AVERAGE('Financial Statements'!B39:C39)</f>
        <v>8.6160340070102173</v>
      </c>
      <c r="D36" s="50">
        <f>'Financial Statements'!C10/AVERAGE('Financial Statements'!C39:D39)</f>
        <v>9.6515991849029863</v>
      </c>
      <c r="E36" s="50">
        <f>'Financial Statements'!D10/AVERAGE('Financial Statements'!D39:E39)</f>
        <v>9.8048749737339769</v>
      </c>
      <c r="I36" s="14"/>
      <c r="J36" s="53"/>
      <c r="K36" s="53"/>
      <c r="L36" s="53"/>
    </row>
    <row r="37" spans="1:12" x14ac:dyDescent="0.25">
      <c r="A37" s="49">
        <f t="shared" si="3"/>
        <v>4.3999999999999986</v>
      </c>
      <c r="B37" s="14" t="s">
        <v>43</v>
      </c>
      <c r="C37" s="53">
        <f>'Financial Statements'!B25/'Financial Statements'!B47</f>
        <v>-5.8831793375479545E-3</v>
      </c>
      <c r="D37" s="53">
        <f>'Financial Statements'!C25/'Financial Statements'!C47</f>
        <v>7.9334393851846041E-2</v>
      </c>
      <c r="E37" s="53">
        <f>'Financial Statements'!D25/'Financial Statements'!D47</f>
        <v>6.6411370040006856E-2</v>
      </c>
      <c r="I37" s="14"/>
      <c r="J37" s="53"/>
      <c r="K37" s="53"/>
      <c r="L37" s="53"/>
    </row>
    <row r="38" spans="1:12" x14ac:dyDescent="0.25">
      <c r="A38" s="49"/>
    </row>
    <row r="39" spans="1:12" x14ac:dyDescent="0.25">
      <c r="A39" s="49">
        <f>+A33+1</f>
        <v>5</v>
      </c>
      <c r="B39" s="51" t="s">
        <v>44</v>
      </c>
    </row>
    <row r="40" spans="1:12" x14ac:dyDescent="0.25">
      <c r="A40" s="49">
        <f>+A39+0.1</f>
        <v>5.0999999999999996</v>
      </c>
      <c r="B40" s="14" t="s">
        <v>45</v>
      </c>
      <c r="C40" s="24">
        <f>C54/C41</f>
        <v>-311111.11111111112</v>
      </c>
      <c r="D40" s="24">
        <f t="shared" ref="D40:E40" si="4">D54/D41</f>
        <v>51456.790123456783</v>
      </c>
      <c r="E40" s="24">
        <f t="shared" si="4"/>
        <v>77918.660287081337</v>
      </c>
    </row>
    <row r="41" spans="1:12" x14ac:dyDescent="0.25">
      <c r="A41" s="49">
        <f t="shared" ref="A41:A44" si="5">+A40+0.1</f>
        <v>5.1999999999999993</v>
      </c>
      <c r="B41" s="37" t="s">
        <v>46</v>
      </c>
      <c r="C41" s="52">
        <f>'Financial Statements'!B27/1000</f>
        <v>-2.7E-4</v>
      </c>
      <c r="D41" s="52">
        <f>'Financial Statements'!C27/1000</f>
        <v>3.2400000000000003E-3</v>
      </c>
      <c r="E41" s="52">
        <f>'Financial Statements'!D27/1000</f>
        <v>2.0899999999999998E-3</v>
      </c>
    </row>
    <row r="42" spans="1:12" x14ac:dyDescent="0.25">
      <c r="A42" s="49">
        <f t="shared" si="5"/>
        <v>5.2999999999999989</v>
      </c>
      <c r="B42" s="14" t="s">
        <v>47</v>
      </c>
      <c r="C42" s="50">
        <f>C54/C43</f>
        <v>5.8604383640434667</v>
      </c>
      <c r="D42" s="50">
        <f t="shared" ref="D42:E42" si="6">D54/D43</f>
        <v>12.416717566638939</v>
      </c>
      <c r="E42" s="50">
        <f t="shared" si="6"/>
        <v>17.780226756884073</v>
      </c>
    </row>
    <row r="43" spans="1:12" x14ac:dyDescent="0.25">
      <c r="A43" s="49">
        <f t="shared" si="5"/>
        <v>5.3999999999999986</v>
      </c>
      <c r="B43" s="37" t="s">
        <v>48</v>
      </c>
      <c r="C43" s="50">
        <f>'Financial Statements'!B68/'Financial Statements'!B30</f>
        <v>14.333398763372264</v>
      </c>
      <c r="D43" s="50">
        <f>'Financial Statements'!C68/'Financial Statements'!C30</f>
        <v>13.427059052059052</v>
      </c>
      <c r="E43" s="50">
        <f>'Financial Statements'!D68/'Financial Statements'!D30</f>
        <v>9.1590507942733872</v>
      </c>
    </row>
    <row r="44" spans="1:12" x14ac:dyDescent="0.25">
      <c r="A44" s="49">
        <f t="shared" si="5"/>
        <v>5.4999999999999982</v>
      </c>
      <c r="B44" s="14" t="s">
        <v>49</v>
      </c>
    </row>
    <row r="45" spans="1:12" x14ac:dyDescent="0.25">
      <c r="A45" s="49"/>
      <c r="B45" s="37" t="s">
        <v>50</v>
      </c>
    </row>
    <row r="46" spans="1:12" x14ac:dyDescent="0.25">
      <c r="A46" s="49">
        <f>+A44+0.1</f>
        <v>5.5999999999999979</v>
      </c>
      <c r="B46" s="14" t="s">
        <v>51</v>
      </c>
    </row>
    <row r="47" spans="1:12" x14ac:dyDescent="0.25">
      <c r="A47" s="49">
        <f t="shared" ref="A47:A50" si="7">+A45+0.1</f>
        <v>0.1</v>
      </c>
      <c r="B47" s="14" t="s">
        <v>52</v>
      </c>
      <c r="C47" s="53">
        <f>'Financial Statements'!B25/AVERAGE('Financial Statements'!B68:C68)</f>
        <v>-1.914959477712742E-2</v>
      </c>
      <c r="D47" s="53">
        <f>'Financial Statements'!C25/AVERAGE('Financial Statements'!C68:D68)</f>
        <v>0.2880564992726064</v>
      </c>
      <c r="E47" s="53">
        <f>'Financial Statements'!D25/AVERAGE('Financial Statements'!D68:E68)</f>
        <v>0.22837351719412444</v>
      </c>
    </row>
    <row r="48" spans="1:12" x14ac:dyDescent="0.25">
      <c r="A48" s="49">
        <f t="shared" si="7"/>
        <v>5.6999999999999975</v>
      </c>
      <c r="B48" s="14" t="s">
        <v>53</v>
      </c>
      <c r="C48" s="53">
        <f>C21/('Financial Statements'!B47-('Financial Statements'!B53-'Financial Statements'!B52))</f>
        <v>1.5207061268170317E-2</v>
      </c>
      <c r="D48" s="53">
        <f>D21/('Financial Statements'!C47-('Financial Statements'!C53-'Financial Statements'!C52))</f>
        <v>0.13150184412808935</v>
      </c>
      <c r="E48" s="53">
        <f>E21/('Financial Statements'!D47-('Financial Statements'!D53-'Financial Statements'!D52))</f>
        <v>0.1171535023812085</v>
      </c>
    </row>
    <row r="49" spans="1:5" x14ac:dyDescent="0.25">
      <c r="A49" s="49">
        <f t="shared" si="7"/>
        <v>0.2</v>
      </c>
      <c r="B49" s="14" t="s">
        <v>43</v>
      </c>
      <c r="C49" s="53">
        <f>'Financial Statements'!B25/'Financial Statements'!B47</f>
        <v>-5.8831793375479545E-3</v>
      </c>
      <c r="D49" s="53">
        <f>'Financial Statements'!C25/'Financial Statements'!C47</f>
        <v>7.9334393851846041E-2</v>
      </c>
      <c r="E49" s="53">
        <f>'Financial Statements'!D25/'Financial Statements'!D47</f>
        <v>6.6411370040006856E-2</v>
      </c>
    </row>
    <row r="50" spans="1:5" x14ac:dyDescent="0.25">
      <c r="A50" s="49">
        <f t="shared" si="7"/>
        <v>5.7999999999999972</v>
      </c>
      <c r="B50" s="14" t="s">
        <v>54</v>
      </c>
      <c r="C50" s="50">
        <f>C51/C19</f>
        <v>15.595514085770681</v>
      </c>
      <c r="D50" s="50">
        <f t="shared" ref="D50:E50" si="8">D51/D19</f>
        <v>28.622299619268333</v>
      </c>
      <c r="E50" s="50">
        <f t="shared" si="8"/>
        <v>33.685851617511993</v>
      </c>
    </row>
    <row r="51" spans="1:5" x14ac:dyDescent="0.25">
      <c r="A51" s="49"/>
      <c r="B51" s="37" t="s">
        <v>55</v>
      </c>
      <c r="C51" s="61">
        <f>(C54*'Financial Statements'!B30)+'Financial Statements'!B55-'Financial Statements'!B37</f>
        <v>869138</v>
      </c>
      <c r="D51" s="61">
        <f>(D54*'Financial Statements'!C30)+'Financial Statements'!C55-'Financial Statements'!C37</f>
        <v>1729073.1199999999</v>
      </c>
      <c r="E51" s="61">
        <f>(E54*'Financial Statements'!D30)+'Financial Statements'!D55-'Financial Statements'!D37</f>
        <v>1650438.3</v>
      </c>
    </row>
    <row r="54" spans="1:5" x14ac:dyDescent="0.25">
      <c r="B54" s="54" t="s">
        <v>165</v>
      </c>
      <c r="C54" s="55">
        <v>84</v>
      </c>
      <c r="D54" s="54">
        <v>166.72</v>
      </c>
      <c r="E54" s="54">
        <v>162.85</v>
      </c>
    </row>
  </sheetData>
  <mergeCells count="1">
    <mergeCell ref="C2:E2"/>
  </mergeCells>
  <conditionalFormatting sqref="A44:XFD1048576 A5:H43 M5:XFD43 A1:XFD4 I5:L21 I23:L31 I34:L37"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2020-05-19T16:15:53Z</dcterms:created>
  <dcterms:modified xsi:type="dcterms:W3CDTF">2023-07-24T01:16:57Z</dcterms:modified>
</cp:coreProperties>
</file>