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9368" windowHeight="8388"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 l="1"/>
  <c r="E37" i="3"/>
  <c r="C37" i="3"/>
  <c r="D47" i="3"/>
  <c r="E47" i="3"/>
  <c r="C47" i="3"/>
  <c r="D8" i="3"/>
  <c r="E8" i="3"/>
  <c r="C8" i="3"/>
  <c r="C13" i="3"/>
  <c r="C14" i="3"/>
  <c r="D11" i="3"/>
  <c r="E11" i="3"/>
  <c r="C11" i="3"/>
  <c r="C12" i="3" s="1"/>
  <c r="D10" i="3"/>
  <c r="E10" i="3"/>
  <c r="C10" i="3"/>
  <c r="D9" i="3"/>
  <c r="E9" i="3"/>
  <c r="E12" i="3" s="1"/>
  <c r="C9" i="3"/>
  <c r="D31" i="3"/>
  <c r="D30" i="3" s="1"/>
  <c r="E31" i="3"/>
  <c r="E30" i="3" s="1"/>
  <c r="C31" i="3"/>
  <c r="C30" i="3" s="1"/>
  <c r="E50" i="3"/>
  <c r="E51" i="3"/>
  <c r="D51" i="3"/>
  <c r="D50" i="3" s="1"/>
  <c r="C51" i="3"/>
  <c r="D46" i="3"/>
  <c r="C46" i="3"/>
  <c r="D44" i="3"/>
  <c r="E44" i="3"/>
  <c r="C44" i="3"/>
  <c r="D45" i="3"/>
  <c r="E45" i="3"/>
  <c r="E46" i="3" s="1"/>
  <c r="C45" i="3"/>
  <c r="C43" i="3"/>
  <c r="C42" i="3" s="1"/>
  <c r="D43" i="3"/>
  <c r="D42" i="3" s="1"/>
  <c r="E43" i="3"/>
  <c r="E42" i="3" s="1"/>
  <c r="D41" i="3"/>
  <c r="D40" i="3" s="1"/>
  <c r="E41" i="3"/>
  <c r="E40" i="3" s="1"/>
  <c r="C41" i="3"/>
  <c r="C40" i="3" s="1"/>
  <c r="M42" i="3"/>
  <c r="N42" i="3"/>
  <c r="L42" i="3"/>
  <c r="M41" i="3"/>
  <c r="N41" i="3"/>
  <c r="L41" i="3"/>
  <c r="M37" i="3"/>
  <c r="N37" i="3"/>
  <c r="L37" i="3"/>
  <c r="M36" i="3"/>
  <c r="N36" i="3"/>
  <c r="L36" i="3"/>
  <c r="M35" i="3"/>
  <c r="N35" i="3"/>
  <c r="L35" i="3"/>
  <c r="M34" i="3"/>
  <c r="N34" i="3"/>
  <c r="L34" i="3"/>
  <c r="M32" i="3"/>
  <c r="N32" i="3"/>
  <c r="L32" i="3"/>
  <c r="N31" i="3"/>
  <c r="M31" i="3"/>
  <c r="L31" i="3"/>
  <c r="M27" i="3"/>
  <c r="L27" i="3"/>
  <c r="M26" i="3"/>
  <c r="L26" i="3"/>
  <c r="M25" i="3"/>
  <c r="L25" i="3"/>
  <c r="M24" i="3"/>
  <c r="L24" i="3"/>
  <c r="M23" i="3"/>
  <c r="L23" i="3"/>
  <c r="M22" i="3"/>
  <c r="L22" i="3"/>
  <c r="M21" i="3"/>
  <c r="L21" i="3"/>
  <c r="M20" i="3"/>
  <c r="L20" i="3"/>
  <c r="M16" i="3"/>
  <c r="M15" i="3"/>
  <c r="M13" i="3"/>
  <c r="M12" i="3"/>
  <c r="M11" i="3"/>
  <c r="M10" i="3"/>
  <c r="M8" i="3"/>
  <c r="M7" i="3"/>
  <c r="L8" i="3"/>
  <c r="L10" i="3"/>
  <c r="L11" i="3"/>
  <c r="L12" i="3"/>
  <c r="L13" i="3"/>
  <c r="L15" i="3"/>
  <c r="L16" i="3"/>
  <c r="L7" i="3"/>
  <c r="M6" i="3"/>
  <c r="L6" i="3"/>
  <c r="M3" i="3"/>
  <c r="N3" i="3"/>
  <c r="L3" i="3"/>
  <c r="D49" i="3"/>
  <c r="E49" i="3"/>
  <c r="C49" i="3"/>
  <c r="D35" i="3"/>
  <c r="E35" i="3"/>
  <c r="C35" i="3"/>
  <c r="D34" i="3"/>
  <c r="E34" i="3"/>
  <c r="C34" i="3"/>
  <c r="D36" i="3"/>
  <c r="E36" i="3"/>
  <c r="C36" i="3"/>
  <c r="D29" i="3"/>
  <c r="E29" i="3"/>
  <c r="C29" i="3"/>
  <c r="D27" i="3"/>
  <c r="E27" i="3"/>
  <c r="C27" i="3"/>
  <c r="D26" i="3"/>
  <c r="E26" i="3"/>
  <c r="C26" i="3"/>
  <c r="D25" i="3"/>
  <c r="E25" i="3"/>
  <c r="C25" i="3"/>
  <c r="D22" i="3"/>
  <c r="E22" i="3"/>
  <c r="C22" i="3"/>
  <c r="D21" i="3"/>
  <c r="M40" i="3" s="1"/>
  <c r="E21" i="3"/>
  <c r="N40" i="3" s="1"/>
  <c r="C21" i="3"/>
  <c r="L40" i="3" s="1"/>
  <c r="D19" i="3"/>
  <c r="D18" i="3" s="1"/>
  <c r="E19" i="3"/>
  <c r="E18" i="3" s="1"/>
  <c r="C19" i="3"/>
  <c r="C18" i="3" s="1"/>
  <c r="D17" i="3"/>
  <c r="E17" i="3"/>
  <c r="C17" i="3"/>
  <c r="D14" i="3"/>
  <c r="D13" i="3" s="1"/>
  <c r="E14" i="3"/>
  <c r="E13" i="3" s="1"/>
  <c r="D7" i="3"/>
  <c r="E7" i="3"/>
  <c r="C7" i="3"/>
  <c r="D6" i="3"/>
  <c r="E6" i="3"/>
  <c r="C6" i="3"/>
  <c r="D5" i="3"/>
  <c r="E5" i="3"/>
  <c r="C5" i="3"/>
  <c r="D108" i="1"/>
  <c r="C108" i="1"/>
  <c r="B108" i="1"/>
  <c r="D99" i="1"/>
  <c r="C99" i="1"/>
  <c r="B99" i="1"/>
  <c r="C48" i="3" l="1"/>
  <c r="C50" i="3"/>
  <c r="D12" i="3"/>
  <c r="C28" i="3"/>
  <c r="C20" i="3"/>
  <c r="E28" i="3"/>
  <c r="D48" i="3"/>
  <c r="E20" i="3"/>
  <c r="D28" i="3"/>
  <c r="D20" i="3"/>
  <c r="E48" i="3"/>
  <c r="D68" i="1"/>
  <c r="C68" i="1"/>
  <c r="B68" i="1"/>
  <c r="D61" i="1"/>
  <c r="C61" i="1"/>
  <c r="B61" i="1"/>
  <c r="D56" i="1"/>
  <c r="C56" i="1"/>
  <c r="C62" i="1" s="1"/>
  <c r="B56" i="1"/>
  <c r="B62" i="1" s="1"/>
  <c r="D47" i="1"/>
  <c r="C47" i="1"/>
  <c r="B47" i="1"/>
  <c r="D42" i="1"/>
  <c r="C42" i="1"/>
  <c r="B42" i="1"/>
  <c r="B48" i="1" s="1"/>
  <c r="D17" i="1"/>
  <c r="C17" i="1"/>
  <c r="B17" i="1"/>
  <c r="D12" i="1"/>
  <c r="C12" i="1"/>
  <c r="B12" i="1"/>
  <c r="D8" i="1"/>
  <c r="D13" i="1" s="1"/>
  <c r="D18" i="1" s="1"/>
  <c r="D20" i="1" s="1"/>
  <c r="D22" i="1" s="1"/>
  <c r="D76" i="1" s="1"/>
  <c r="D91" i="1" s="1"/>
  <c r="D109" i="1" s="1"/>
  <c r="C8" i="1"/>
  <c r="C13" i="1" s="1"/>
  <c r="C18" i="1" s="1"/>
  <c r="C20" i="1" s="1"/>
  <c r="C22" i="1" s="1"/>
  <c r="C76" i="1" s="1"/>
  <c r="C91" i="1" s="1"/>
  <c r="C109" i="1" s="1"/>
  <c r="B8" i="1"/>
  <c r="B13" i="1" s="1"/>
  <c r="E3" i="3"/>
  <c r="D3" i="3"/>
  <c r="C3" i="3"/>
  <c r="D33" i="1"/>
  <c r="D73" i="1" s="1"/>
  <c r="C33" i="1"/>
  <c r="C73" i="1" s="1"/>
  <c r="B33" i="1"/>
  <c r="B73" i="1" s="1"/>
  <c r="B18" i="1" l="1"/>
  <c r="B20" i="1" s="1"/>
  <c r="B22" i="1" s="1"/>
  <c r="B76" i="1" s="1"/>
  <c r="B91" i="1" s="1"/>
  <c r="B109" i="1" s="1"/>
  <c r="C48" i="1"/>
  <c r="D62" i="1"/>
  <c r="D69" i="1" s="1"/>
  <c r="C69" i="1"/>
  <c r="D48" i="1"/>
  <c r="B69" i="1"/>
  <c r="A47" i="3"/>
  <c r="A49" i="3" s="1"/>
  <c r="A16" i="3"/>
  <c r="A5" i="3"/>
  <c r="A6" i="3" s="1"/>
  <c r="A7" i="3" s="1"/>
  <c r="A8" i="3" s="1"/>
  <c r="A9" i="3" s="1"/>
  <c r="A10" i="3" s="1"/>
  <c r="A11" i="3" s="1"/>
  <c r="A12" i="3" s="1"/>
  <c r="A13" i="3" s="1"/>
  <c r="A17" i="3" l="1"/>
  <c r="A18" i="3" s="1"/>
  <c r="A20" i="3" s="1"/>
  <c r="A22" i="3" s="1"/>
  <c r="A24" i="3"/>
  <c r="A25" i="3" s="1"/>
  <c r="A26" i="3" s="1"/>
  <c r="A27" i="3" s="1"/>
  <c r="A28" i="3" s="1"/>
  <c r="A29" i="3" s="1"/>
  <c r="A30" i="3" s="1"/>
  <c r="A33" i="3"/>
  <c r="A39" i="3" l="1"/>
  <c r="A40" i="3" s="1"/>
  <c r="A41" i="3" s="1"/>
  <c r="A42" i="3" s="1"/>
  <c r="A43" i="3" s="1"/>
  <c r="A44" i="3" s="1"/>
  <c r="A46" i="3" s="1"/>
  <c r="A48" i="3" s="1"/>
  <c r="A50" i="3" s="1"/>
  <c r="A34" i="3"/>
  <c r="A35" i="3" s="1"/>
  <c r="A36" i="3" s="1"/>
  <c r="A37" i="3" s="1"/>
</calcChain>
</file>

<file path=xl/sharedStrings.xml><?xml version="1.0" encoding="utf-8"?>
<sst xmlns="http://schemas.openxmlformats.org/spreadsheetml/2006/main" count="224" uniqueCount="167">
  <si>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</si>
  <si>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</si>
  <si>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</si>
  <si>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</si>
  <si>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</si>
  <si>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</si>
  <si>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</si>
  <si>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</si>
  <si>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</si>
  <si>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</si>
  <si>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</si>
  <si>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</si>
  <si>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</si>
  <si>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</si>
  <si>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</si>
  <si>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</si>
  <si>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</si>
  <si>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</si>
  <si>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</si>
  <si>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</si>
  <si>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</si>
  <si>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</si>
  <si>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</si>
  <si>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</si>
  <si>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</si>
  <si>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</si>
  <si>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</si>
  <si>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</si>
  <si>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</si>
  <si>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</si>
  <si>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</si>
  <si>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</si>
  <si>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</si>
  <si>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</si>
  <si>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</si>
  <si>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</si>
  <si>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</si>
  <si>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</si>
  <si>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</si>
  <si>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</si>
  <si>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</si>
  <si>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</si>
  <si>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</si>
  <si>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</si>
  <si>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</si>
  <si>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</si>
  <si>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</si>
  <si>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</si>
  <si>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</si>
  <si>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</si>
  <si>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</si>
  <si>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</si>
  <si>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</si>
  <si>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</si>
  <si>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</si>
  <si>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</si>
  <si>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</si>
  <si>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</si>
  <si>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</si>
  <si>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</si>
  <si>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</si>
  <si>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</si>
  <si>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</si>
  <si>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</si>
  <si>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</si>
  <si>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</si>
  <si>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</si>
  <si>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</si>
  <si>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</si>
  <si>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</si>
  <si>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</si>
  <si>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</si>
  <si>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</si>
  <si>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</si>
  <si>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</si>
  <si>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</si>
  <si>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</si>
  <si>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</si>
  <si>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</si>
  <si>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</si>
  <si>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</si>
  <si>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</si>
  <si>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</si>
  <si>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</si>
  <si>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</si>
  <si>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</si>
  <si>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</si>
  <si>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</si>
  <si>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</si>
  <si>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</si>
  <si>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</si>
  <si>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</si>
  <si>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</si>
  <si>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</si>
  <si>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</si>
  <si>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</si>
  <si>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</si>
  <si>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</si>
  <si>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</si>
  <si>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</si>
  <si>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</si>
  <si>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</si>
  <si>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</si>
  <si>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</si>
  <si>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</si>
  <si>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</si>
  <si>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</si>
  <si>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</si>
  <si>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</si>
  <si>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</si>
  <si>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</si>
  <si>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</si>
  <si>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</si>
  <si>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</si>
  <si>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</si>
  <si>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</si>
  <si>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</si>
  <si>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</si>
  <si>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</si>
  <si>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</si>
  <si>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</si>
  <si>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</si>
  <si>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</si>
  <si>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</si>
  <si>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</si>
  <si>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</si>
  <si>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</si>
  <si>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</si>
  <si>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</si>
  <si>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</si>
  <si>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</si>
  <si>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</si>
  <si>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</si>
  <si>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</si>
  <si>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</si>
  <si>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</si>
  <si>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</si>
  <si>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</si>
  <si>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</si>
  <si>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</si>
  <si>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</si>
  <si>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</si>
  <si>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</si>
  <si>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</si>
  <si>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</si>
  <si>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</si>
  <si>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</si>
  <si>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</si>
  <si>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</si>
  <si>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</si>
  <si>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Growth Rates</t>
  </si>
  <si>
    <t>As a % of Net Sales</t>
  </si>
  <si>
    <t>Additional Calculatons</t>
  </si>
  <si>
    <t>Main Line Items on Balance Sheet</t>
  </si>
  <si>
    <t>Closing Share Prices</t>
  </si>
  <si>
    <t>Cash + Cash Equivalents / Current Liabilities</t>
  </si>
  <si>
    <t>Instead of adding cash interest paid to net income, use operating income</t>
  </si>
  <si>
    <t>Include only term debt, since differed revenue is not an actual form of capital</t>
  </si>
  <si>
    <t>Should be EBIT, not Net Income</t>
  </si>
  <si>
    <t>Cash from operations + Capex + Net debt issued</t>
  </si>
  <si>
    <t>Net Sales / Total Assets</t>
  </si>
  <si>
    <t>Net Sales /  Fixed Assets</t>
  </si>
  <si>
    <t>COGS / Average Inventory</t>
  </si>
  <si>
    <t>Please use the Diluted share count for this calculation Please note that the income statement is in millions while the share count is in absolute value, therefore, please divide the share count by 1,000</t>
  </si>
  <si>
    <t>Include only equity and term debt, because in practice, they are the actual capital employed while deferred payments are accounting charges</t>
  </si>
  <si>
    <t>Market Cap + Total Debt - (Cash + Cash Equivalents)</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</si>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</sst>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_(&quot;$&quot;* \(#,##0.00\);_(&quot;$&quot;* &quot;-&quot;??_);_(@_)"/>
    <numFmt numFmtId="165" formatCode="_(* #,##0.00_);_(* \(#,##0.00\);_(* &quot;-&quot;??_);_(@_)"/>
    <numFmt numFmtId="166" formatCode="_(* #,##0_);_(* \(#,##0\);_(* &quot;-&quot;??_);_(@_)"/>
    <numFmt numFmtId="167" formatCode="0.0"/>
    <numFmt numFmtId="168" formatCode="_(&quot;$&quot;* #,##0_);_(&quot;$&quot;* \(#,##0\);_(&quot;$&quot;* &quot;-&quot;??_);_(@_)"/>
    <numFmt numFmtId="169" formatCode="&quot;$&quot;#,##0.00"/>
    <numFmt numFmtId="170" formatCode="&quot;$&quot;#,##0.000"/>
    <numFmt numFmtId="171" formatCode="&quot;$&quot;#,##0"/>
    <numFmt numFmtId="172" formatCode="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2"/>
      <color theme="1"/>
      <name val="Times New Roman"/>
      <family val="1"/>
    </font>
    <font>
      <b/>
      <sz val="12"/>
      <color theme="1"/>
      <name val="Times New Roman"/>
      <family val="1"/>
    </font>
    <font>
      <sz val="12"/>
      <color theme="4"/>
      <name val="Times New Roman"/>
      <family val="1"/>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6" fontId="0" fillId="0" borderId="0" xfId="1" applyNumberFormat="1" applyFont="1"/>
    <xf numFmtId="166" fontId="2" fillId="0" borderId="1" xfId="1" applyNumberFormat="1" applyFont="1" applyBorder="1"/>
    <xf numFmtId="166" fontId="2" fillId="0" borderId="2" xfId="1" applyNumberFormat="1" applyFont="1" applyBorder="1"/>
    <xf numFmtId="166" fontId="2" fillId="0" borderId="0" xfId="1" applyNumberFormat="1" applyFont="1"/>
    <xf numFmtId="0" fontId="6" fillId="0" borderId="0" xfId="2" applyAlignment="1">
      <alignment horizontal="left" indent="1"/>
    </xf>
    <xf numFmtId="0" fontId="2" fillId="0" borderId="0" xfId="0" applyFont="1" applyAlignment="1">
      <alignment horizontal="left"/>
    </xf>
    <xf numFmtId="0" fontId="3" fillId="2" borderId="0" xfId="0" applyFont="1" applyFill="1" applyAlignment="1">
      <alignment horizontal="center"/>
    </xf>
    <xf numFmtId="0" fontId="7" fillId="2" borderId="0" xfId="0" applyFont="1" applyFill="1" applyAlignment="1">
      <alignment horizontal="left"/>
    </xf>
    <xf numFmtId="166" fontId="0" fillId="0" borderId="3" xfId="1" applyNumberFormat="1" applyFont="1" applyBorder="1"/>
    <xf numFmtId="0" fontId="2" fillId="0" borderId="3" xfId="0" applyFont="1" applyBorder="1" applyAlignment="1">
      <alignment horizontal="left"/>
    </xf>
    <xf numFmtId="10" fontId="0" fillId="0" borderId="0" xfId="4" applyNumberFormat="1" applyFont="1"/>
    <xf numFmtId="10" fontId="8" fillId="0" borderId="0" xfId="4" applyNumberFormat="1" applyFont="1"/>
    <xf numFmtId="2" fontId="8" fillId="0" borderId="0" xfId="4" applyNumberFormat="1" applyFont="1"/>
    <xf numFmtId="9" fontId="8" fillId="0" borderId="0" xfId="4" applyFont="1"/>
    <xf numFmtId="168" fontId="8" fillId="0" borderId="0" xfId="3" applyNumberFormat="1" applyFont="1"/>
    <xf numFmtId="166" fontId="0" fillId="0" borderId="0" xfId="0" applyNumberFormat="1"/>
    <xf numFmtId="171" fontId="8" fillId="0" borderId="0" xfId="4" applyNumberFormat="1" applyFont="1"/>
    <xf numFmtId="170" fontId="8" fillId="0" borderId="0" xfId="4" applyNumberFormat="1" applyFont="1"/>
    <xf numFmtId="0" fontId="9" fillId="0" borderId="0" xfId="0" applyFont="1"/>
    <xf numFmtId="0" fontId="8" fillId="0" borderId="0" xfId="0" applyFont="1"/>
    <xf numFmtId="0" fontId="8" fillId="0" borderId="0" xfId="0" applyFont="1" applyAlignment="1">
      <alignment horizontal="left" indent="1"/>
    </xf>
    <xf numFmtId="0" fontId="8" fillId="0" borderId="4" xfId="0" applyFont="1" applyBorder="1" applyAlignment="1">
      <alignment horizontal="left" indent="1"/>
    </xf>
    <xf numFmtId="10" fontId="8" fillId="0" borderId="4" xfId="4" applyNumberFormat="1" applyFont="1" applyBorder="1"/>
    <xf numFmtId="0" fontId="9" fillId="0" borderId="0" xfId="0" applyFont="1" applyBorder="1"/>
    <xf numFmtId="10" fontId="9" fillId="0" borderId="0" xfId="4" applyNumberFormat="1" applyFont="1"/>
    <xf numFmtId="0" fontId="9" fillId="0" borderId="3" xfId="0" applyFont="1" applyBorder="1"/>
    <xf numFmtId="10" fontId="9" fillId="0" borderId="3" xfId="4" applyNumberFormat="1" applyFont="1" applyBorder="1"/>
    <xf numFmtId="0" fontId="8" fillId="0" borderId="0" xfId="0" applyFont="1" applyBorder="1" applyAlignment="1">
      <alignment horizontal="left" indent="1"/>
    </xf>
    <xf numFmtId="10" fontId="8" fillId="0" borderId="0" xfId="4" applyNumberFormat="1" applyFont="1" applyBorder="1"/>
    <xf numFmtId="0" fontId="8" fillId="0" borderId="0" xfId="0" applyFont="1" applyBorder="1"/>
    <xf numFmtId="166" fontId="8" fillId="0" borderId="0" xfId="1" applyNumberFormat="1" applyFont="1" applyBorder="1"/>
    <xf numFmtId="0" fontId="8" fillId="0" borderId="0" xfId="0" applyFont="1" applyBorder="1" applyAlignment="1">
      <alignment horizontal="left"/>
    </xf>
    <xf numFmtId="167" fontId="8" fillId="0" borderId="0" xfId="0" applyNumberFormat="1" applyFont="1"/>
    <xf numFmtId="0" fontId="8" fillId="0" borderId="0" xfId="0" applyFont="1" applyAlignment="1">
      <alignment horizontal="left" indent="2"/>
    </xf>
    <xf numFmtId="0" fontId="9" fillId="0" borderId="0" xfId="0" applyFont="1" applyAlignment="1">
      <alignment horizontal="left"/>
    </xf>
    <xf numFmtId="0" fontId="9" fillId="0" borderId="0" xfId="0" applyFont="1" applyAlignment="1">
      <alignment horizontal="left" indent="1"/>
    </xf>
    <xf numFmtId="172" fontId="8" fillId="0" borderId="0" xfId="4" applyNumberFormat="1" applyFont="1"/>
    <xf numFmtId="171" fontId="8" fillId="0" borderId="0" xfId="3" applyNumberFormat="1" applyFont="1"/>
    <xf numFmtId="169" fontId="10" fillId="0" borderId="0" xfId="4" applyNumberFormat="1" applyFont="1"/>
    <xf numFmtId="0" fontId="10" fillId="0" borderId="0" xfId="0" applyFont="1"/>
    <xf numFmtId="15" fontId="10" fillId="0" borderId="0" xfId="0" applyNumberFormat="1" applyFont="1"/>
    <xf numFmtId="169" fontId="10" fillId="0" borderId="0" xfId="0" applyNumberFormat="1" applyFont="1"/>
    <xf numFmtId="0" fontId="2" fillId="0" borderId="0" xfId="0" applyFont="1" applyAlignment="1">
      <alignment horizontal="center"/>
    </xf>
    <xf numFmtId="0" fontId="2" fillId="3" borderId="0" xfId="0" applyFont="1" applyFill="1" applyAlignment="1">
      <alignment horizontal="center"/>
    </xf>
    <xf numFmtId="0" fontId="9" fillId="0" borderId="0" xfId="0" applyFont="1" applyAlignment="1">
      <alignment horizontal="center"/>
    </xf>
    <xf numFmtId="165" fontId="8" fillId="0" borderId="0" xfId="1" applyFont="1"/>
    <xf numFmtId="0" fontId="7" fillId="2" borderId="0" xfId="0" applyFont="1" applyFill="1" applyAlignment="1">
      <alignment horizontal="center"/>
    </xf>
  </cellXfs>
  <cellStyles count="5">
    <cellStyle name="Comma" xfId="1" builtinId="3"/>
    <cellStyle name="Currency" xfId="3" builtinId="4"/>
    <cellStyle name="Hyperlink" xfId="2" builtinId="8"/>
    <cellStyle name="Normal" xfId="0" builtinId="0"/>
    <cellStyle name="Percent" xfId="4"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C9" sqref="C9"/>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opLeftCell="A71" workbookViewId="0">
      <selection activeCell="B96" sqref="B96"/>
    </sheetView>
  </sheetViews>
  <sheetFormatPr defaultRowHeight="14.4" x14ac:dyDescent="0.3"/>
  <cols>
    <col min="1" max="1" width="59" customWidth="1"/>
    <col min="2" max="3" width="11.554687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55" t="s">
        <v>1</v>
      </c>
      <c r="B2" s="55"/>
      <c r="C2" s="55"/>
      <c r="D2" s="55"/>
    </row>
    <row r="3" spans="1:10" x14ac:dyDescent="0.3">
      <c r="B3" s="54" t="s">
        <v>23</v>
      </c>
      <c r="C3" s="54"/>
      <c r="D3" s="54"/>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7" x14ac:dyDescent="0.3">
      <c r="A17" s="8" t="s">
        <v>13</v>
      </c>
      <c r="B17" s="13">
        <f>+B15+B16</f>
        <v>51345</v>
      </c>
      <c r="C17" s="13">
        <f t="shared" ref="C17" si="3">+C15+C16</f>
        <v>43887</v>
      </c>
      <c r="D17" s="13">
        <f t="shared" ref="D17" si="4">+D15+D16</f>
        <v>38668</v>
      </c>
    </row>
    <row r="18" spans="1:7" s="7" customFormat="1" x14ac:dyDescent="0.3">
      <c r="A18" s="8" t="s">
        <v>14</v>
      </c>
      <c r="B18" s="13">
        <f>+B13-B17</f>
        <v>119437</v>
      </c>
      <c r="C18" s="13">
        <f t="shared" ref="C18:D18" si="5">+C13-C17</f>
        <v>108949</v>
      </c>
      <c r="D18" s="13">
        <f t="shared" si="5"/>
        <v>66288</v>
      </c>
    </row>
    <row r="19" spans="1:7" x14ac:dyDescent="0.3">
      <c r="A19" t="s">
        <v>15</v>
      </c>
      <c r="B19" s="12">
        <v>-334</v>
      </c>
      <c r="C19" s="12">
        <v>258</v>
      </c>
      <c r="D19" s="12">
        <v>803</v>
      </c>
    </row>
    <row r="20" spans="1:7" x14ac:dyDescent="0.3">
      <c r="A20" s="8" t="s">
        <v>16</v>
      </c>
      <c r="B20" s="13">
        <f>+B18+B19</f>
        <v>119103</v>
      </c>
      <c r="C20" s="13">
        <f t="shared" ref="C20:D20" si="6">+C18+C19</f>
        <v>109207</v>
      </c>
      <c r="D20" s="13">
        <f t="shared" si="6"/>
        <v>67091</v>
      </c>
    </row>
    <row r="21" spans="1:7" x14ac:dyDescent="0.3">
      <c r="A21" t="s">
        <v>17</v>
      </c>
      <c r="B21" s="12">
        <v>19300</v>
      </c>
      <c r="C21" s="12">
        <v>14527</v>
      </c>
      <c r="D21" s="12">
        <v>9680</v>
      </c>
    </row>
    <row r="22" spans="1:7" ht="15" thickBot="1" x14ac:dyDescent="0.35">
      <c r="A22" s="9" t="s">
        <v>18</v>
      </c>
      <c r="B22" s="14">
        <f>+B20-B21</f>
        <v>99803</v>
      </c>
      <c r="C22" s="14">
        <f t="shared" ref="C22:D22" si="7">+C20-C21</f>
        <v>94680</v>
      </c>
      <c r="D22" s="14">
        <f t="shared" si="7"/>
        <v>57411</v>
      </c>
      <c r="G22" s="27"/>
    </row>
    <row r="23" spans="1:7" ht="15" thickTop="1" x14ac:dyDescent="0.3">
      <c r="A23" t="s">
        <v>19</v>
      </c>
    </row>
    <row r="24" spans="1:7" x14ac:dyDescent="0.3">
      <c r="A24" s="1" t="s">
        <v>20</v>
      </c>
      <c r="B24" s="10">
        <v>6.15</v>
      </c>
      <c r="C24" s="10">
        <v>5.67</v>
      </c>
      <c r="D24" s="10">
        <v>3.31</v>
      </c>
    </row>
    <row r="25" spans="1:7" x14ac:dyDescent="0.3">
      <c r="A25" s="1" t="s">
        <v>21</v>
      </c>
      <c r="B25" s="10">
        <v>6.11</v>
      </c>
      <c r="C25" s="10">
        <v>5.61</v>
      </c>
      <c r="D25" s="10">
        <v>3.28</v>
      </c>
    </row>
    <row r="26" spans="1:7" x14ac:dyDescent="0.3">
      <c r="A26" t="s">
        <v>22</v>
      </c>
    </row>
    <row r="27" spans="1:7" x14ac:dyDescent="0.3">
      <c r="A27" s="1" t="s">
        <v>20</v>
      </c>
      <c r="B27" s="2">
        <v>16215963</v>
      </c>
      <c r="C27" s="2">
        <v>16701272</v>
      </c>
      <c r="D27" s="2">
        <v>17352119</v>
      </c>
    </row>
    <row r="28" spans="1:7" x14ac:dyDescent="0.3">
      <c r="A28" s="1" t="s">
        <v>21</v>
      </c>
      <c r="B28" s="2">
        <v>16325819</v>
      </c>
      <c r="C28" s="2">
        <v>16864919</v>
      </c>
      <c r="D28" s="2">
        <v>17528214</v>
      </c>
    </row>
    <row r="31" spans="1:7" x14ac:dyDescent="0.3">
      <c r="A31" s="55" t="s">
        <v>24</v>
      </c>
      <c r="B31" s="55"/>
      <c r="C31" s="55"/>
      <c r="D31" s="55"/>
    </row>
    <row r="32" spans="1:7" x14ac:dyDescent="0.3">
      <c r="B32" s="54" t="s">
        <v>142</v>
      </c>
      <c r="C32" s="54"/>
      <c r="D32" s="54"/>
    </row>
    <row r="33" spans="1:4" x14ac:dyDescent="0.3">
      <c r="B33" s="7">
        <f>+B4</f>
        <v>2022</v>
      </c>
      <c r="C33" s="7">
        <f t="shared" ref="C33:D33" si="8">+C4</f>
        <v>2021</v>
      </c>
      <c r="D33" s="7">
        <f t="shared" si="8"/>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 t="shared" ref="C42:D42" si="9">+SUM(C36:C41)</f>
        <v>134836</v>
      </c>
      <c r="D42" s="13">
        <f t="shared" si="9"/>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 t="shared" ref="C47:D47" si="10">+SUM(C44:C46)</f>
        <v>216166</v>
      </c>
      <c r="D47" s="13">
        <f t="shared" si="10"/>
        <v>180175</v>
      </c>
    </row>
    <row r="48" spans="1:4"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1" t="s">
        <v>53</v>
      </c>
      <c r="B61" s="20">
        <f>+B59+B60</f>
        <v>148101</v>
      </c>
      <c r="C61" s="20">
        <f t="shared" ref="C61:D61" si="13">+C59+C60</f>
        <v>162431</v>
      </c>
      <c r="D61" s="20">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15">+SUM(C65:C67)</f>
        <v>63090</v>
      </c>
      <c r="D68" s="13">
        <f t="shared" si="15"/>
        <v>65339</v>
      </c>
    </row>
    <row r="69" spans="1:4" ht="15" thickBot="1" x14ac:dyDescent="0.35">
      <c r="A69" s="9" t="s">
        <v>46</v>
      </c>
      <c r="B69" s="14">
        <f>+B68+B62</f>
        <v>352755</v>
      </c>
      <c r="C69" s="14">
        <f t="shared" ref="C69:D69" si="16">+C68+C62</f>
        <v>351002</v>
      </c>
      <c r="D69" s="14">
        <f t="shared" si="16"/>
        <v>323888</v>
      </c>
    </row>
    <row r="70" spans="1:4" ht="15" thickTop="1" x14ac:dyDescent="0.3"/>
    <row r="71" spans="1:4" x14ac:dyDescent="0.3">
      <c r="A71" s="55" t="s">
        <v>55</v>
      </c>
      <c r="B71" s="55"/>
      <c r="C71" s="55"/>
      <c r="D71" s="55"/>
    </row>
    <row r="72" spans="1:4" x14ac:dyDescent="0.3">
      <c r="B72" s="54" t="s">
        <v>23</v>
      </c>
      <c r="C72" s="54"/>
      <c r="D72" s="54"/>
    </row>
    <row r="73" spans="1:4" x14ac:dyDescent="0.3">
      <c r="B73" s="7">
        <f>+B33</f>
        <v>2022</v>
      </c>
      <c r="C73" s="7">
        <f t="shared" ref="C73:D73" si="17">+C33</f>
        <v>2021</v>
      </c>
      <c r="D73" s="7">
        <f t="shared" si="17"/>
        <v>2020</v>
      </c>
    </row>
    <row r="75" spans="1:4" x14ac:dyDescent="0.3">
      <c r="A75" s="7" t="s">
        <v>56</v>
      </c>
      <c r="B75" s="15"/>
      <c r="C75" s="15"/>
      <c r="D75" s="15"/>
    </row>
    <row r="76" spans="1:4" x14ac:dyDescent="0.3">
      <c r="A76" t="s">
        <v>57</v>
      </c>
      <c r="B76" s="12">
        <f>+B22</f>
        <v>99803</v>
      </c>
      <c r="C76" s="12">
        <f t="shared" ref="C76:D76" si="18">+C22</f>
        <v>94680</v>
      </c>
      <c r="D76" s="12">
        <f t="shared" si="18"/>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topLeftCell="C1" workbookViewId="0">
      <selection activeCell="G1" sqref="G1"/>
    </sheetView>
  </sheetViews>
  <sheetFormatPr defaultRowHeight="14.4" x14ac:dyDescent="0.3"/>
  <cols>
    <col min="1" max="1" width="4.6640625" customWidth="1"/>
    <col min="2" max="2" width="44.88671875" customWidth="1"/>
    <col min="3" max="3" width="18.44140625" bestFit="1" customWidth="1"/>
    <col min="4" max="4" width="15.33203125" customWidth="1"/>
    <col min="5" max="5" width="15.44140625" customWidth="1"/>
    <col min="7" max="7" width="55" customWidth="1"/>
    <col min="11" max="11" width="27.44140625" customWidth="1"/>
  </cols>
  <sheetData>
    <row r="1" spans="1:14" ht="60" customHeight="1" x14ac:dyDescent="0.5">
      <c r="A1" s="6"/>
      <c r="B1" s="19" t="s">
        <v>0</v>
      </c>
      <c r="C1" s="18"/>
      <c r="D1" s="18"/>
      <c r="E1" s="18"/>
      <c r="F1" s="18"/>
      <c r="G1" s="58" t="s">
        <v>166</v>
      </c>
      <c r="H1" s="18"/>
      <c r="I1" s="18"/>
      <c r="J1" s="18"/>
      <c r="K1" s="18"/>
      <c r="L1" s="18"/>
    </row>
    <row r="2" spans="1:14" ht="15.6" x14ac:dyDescent="0.3">
      <c r="A2" s="31"/>
      <c r="B2" s="31"/>
      <c r="C2" s="56" t="s">
        <v>23</v>
      </c>
      <c r="D2" s="56"/>
      <c r="E2" s="56"/>
    </row>
    <row r="3" spans="1:14" ht="15.6" x14ac:dyDescent="0.3">
      <c r="A3" s="31"/>
      <c r="B3" s="31"/>
      <c r="C3" s="30">
        <f>+'Financial Statements'!B4</f>
        <v>2022</v>
      </c>
      <c r="D3" s="30">
        <f>+'Financial Statements'!C4</f>
        <v>2021</v>
      </c>
      <c r="E3" s="30">
        <f>+'Financial Statements'!D4</f>
        <v>2020</v>
      </c>
      <c r="L3" s="30">
        <f>'Financial Statements'!B4</f>
        <v>2022</v>
      </c>
      <c r="M3" s="30">
        <f>'Financial Statements'!C4</f>
        <v>2021</v>
      </c>
      <c r="N3" s="30">
        <f>'Financial Statements'!D4</f>
        <v>2020</v>
      </c>
    </row>
    <row r="4" spans="1:14" ht="15.6" x14ac:dyDescent="0.3">
      <c r="A4" s="44">
        <v>1</v>
      </c>
      <c r="B4" s="30" t="s">
        <v>99</v>
      </c>
      <c r="C4" s="22"/>
      <c r="D4" s="22"/>
      <c r="E4" s="22"/>
      <c r="K4" s="30" t="s">
        <v>150</v>
      </c>
      <c r="L4" s="31"/>
      <c r="M4" s="31"/>
      <c r="N4" s="31"/>
    </row>
    <row r="5" spans="1:14" ht="15.6" x14ac:dyDescent="0.3">
      <c r="A5" s="44">
        <f>+A4+0.1</f>
        <v>1.1000000000000001</v>
      </c>
      <c r="B5" s="32" t="s">
        <v>100</v>
      </c>
      <c r="C5" s="57">
        <f>'Financial Statements'!B42/'Financial Statements'!B56</f>
        <v>0.87935602862672257</v>
      </c>
      <c r="D5" s="57">
        <f>'Financial Statements'!C42/'Financial Statements'!C56</f>
        <v>1.0745531195957954</v>
      </c>
      <c r="E5" s="57">
        <f>'Financial Statements'!D42/'Financial Statements'!D56</f>
        <v>1.3636044481554577</v>
      </c>
      <c r="K5" s="30" t="s">
        <v>3</v>
      </c>
      <c r="L5" s="31"/>
      <c r="M5" s="31"/>
      <c r="N5" s="31"/>
    </row>
    <row r="6" spans="1:14" ht="15.6" x14ac:dyDescent="0.3">
      <c r="A6" s="44">
        <f t="shared" ref="A6:A13" si="0">+A5+0.1</f>
        <v>1.2000000000000002</v>
      </c>
      <c r="B6" s="32" t="s">
        <v>101</v>
      </c>
      <c r="C6" s="57">
        <f>('Financial Statements'!B36+'Financial Statements'!B38)/'Financial Statements'!B56</f>
        <v>0.33659778415658975</v>
      </c>
      <c r="D6" s="57">
        <f>('Financial Statements'!C36+'Financial Statements'!C38)/'Financial Statements'!C56</f>
        <v>0.48786668898080188</v>
      </c>
      <c r="E6" s="57">
        <f>('Financial Statements'!D36+'Financial Statements'!D38)/'Financial Statements'!D56</f>
        <v>0.51366327614999241</v>
      </c>
      <c r="K6" s="32" t="s">
        <v>4</v>
      </c>
      <c r="L6" s="23">
        <f>('Financial Statements'!B6-'Financial Statements'!C6)/'Financial Statements'!C6</f>
        <v>6.3239764351428418E-2</v>
      </c>
      <c r="M6" s="23">
        <f>('Financial Statements'!C6-'Financial Statements'!D6)/'Financial Statements'!D6</f>
        <v>0.34720743656765435</v>
      </c>
      <c r="N6" s="23"/>
    </row>
    <row r="7" spans="1:14" ht="15.6" x14ac:dyDescent="0.3">
      <c r="A7" s="44">
        <f t="shared" si="0"/>
        <v>1.3000000000000003</v>
      </c>
      <c r="B7" s="32" t="s">
        <v>102</v>
      </c>
      <c r="C7" s="57">
        <f>'Financial Statements'!B36/'Financial Statements'!B56</f>
        <v>0.15356340351469652</v>
      </c>
      <c r="D7" s="57">
        <f>'Financial Statements'!C36/'Financial Statements'!C56</f>
        <v>0.27844853005634318</v>
      </c>
      <c r="E7" s="57">
        <f>'Financial Statements'!D36/'Financial Statements'!D56</f>
        <v>0.36071049035979963</v>
      </c>
      <c r="G7" t="s">
        <v>155</v>
      </c>
      <c r="K7" s="33" t="s">
        <v>5</v>
      </c>
      <c r="L7" s="34">
        <f>('Financial Statements'!B7-'Financial Statements'!C7)/'Financial Statements'!C7</f>
        <v>0.14181951041286078</v>
      </c>
      <c r="M7" s="34">
        <f>('Financial Statements'!C7-'Financial Statements'!D7)/'Financial Statements'!D7</f>
        <v>0.27259708376729652</v>
      </c>
      <c r="N7" s="31"/>
    </row>
    <row r="8" spans="1:14" ht="15.6" x14ac:dyDescent="0.3">
      <c r="A8" s="44">
        <f t="shared" si="0"/>
        <v>1.4000000000000004</v>
      </c>
      <c r="B8" s="32" t="s">
        <v>103</v>
      </c>
      <c r="C8" s="24">
        <f>('Financial Statements'!B36+'Financial Statements'!B37+'Financial Statements'!B38)/(('Financial Statements'!B17-'Financial Statements'!B19)/365)</f>
        <v>540.22175351690248</v>
      </c>
      <c r="D8" s="24">
        <f>('Financial Statements'!C36+'Financial Statements'!C37+'Financial Statements'!C38)/(('Financial Statements'!C17-'Financial Statements'!C19)/365)</f>
        <v>743.87918586261435</v>
      </c>
      <c r="E8" s="24">
        <f>('Financial Statements'!D36+'Financial Statements'!D37+'Financial Statements'!D38)/(('Financial Statements'!D17-'Financial Statements'!D19)/365)</f>
        <v>1032.0347286412255</v>
      </c>
      <c r="K8" s="35" t="s">
        <v>6</v>
      </c>
      <c r="L8" s="36">
        <f>('Financial Statements'!B8-'Financial Statements'!C8)/'Financial Statements'!C8</f>
        <v>7.7937876041846058E-2</v>
      </c>
      <c r="M8" s="36">
        <f>('Financial Statements'!C8-'Financial Statements'!D8)/'Financial Statements'!D8</f>
        <v>0.33259384733074693</v>
      </c>
      <c r="N8" s="31"/>
    </row>
    <row r="9" spans="1:14" ht="15.6" x14ac:dyDescent="0.3">
      <c r="A9" s="44">
        <f t="shared" si="0"/>
        <v>1.5000000000000004</v>
      </c>
      <c r="B9" s="32" t="s">
        <v>104</v>
      </c>
      <c r="C9" s="24">
        <f>(AVERAGE('Financial Statements'!B39:C39)/'Financial Statements'!B12)*365</f>
        <v>9.4096740715557434</v>
      </c>
      <c r="D9" s="24">
        <f>(AVERAGE('Financial Statements'!C39:D39)/'Financial Statements'!C12)*365</f>
        <v>9.1181020842234748</v>
      </c>
      <c r="E9" s="24">
        <f>(AVERAGE('Financial Statements'!D39:E39)/'Financial Statements'!D12)*365</f>
        <v>8.7418833562358831</v>
      </c>
      <c r="K9" s="30" t="s">
        <v>7</v>
      </c>
      <c r="L9" s="23"/>
      <c r="M9" s="31"/>
      <c r="N9" s="31"/>
    </row>
    <row r="10" spans="1:14" ht="15.6" x14ac:dyDescent="0.3">
      <c r="A10" s="44">
        <f t="shared" si="0"/>
        <v>1.6000000000000005</v>
      </c>
      <c r="B10" s="32" t="s">
        <v>105</v>
      </c>
      <c r="C10" s="24">
        <f>(AVERAGE('Financial Statements'!B51:C51)/'Financial Statements'!B12)*365</f>
        <v>97.050428099809452</v>
      </c>
      <c r="D10" s="24">
        <f>(AVERAGE('Financial Statements'!C51:D51)/'Financial Statements'!C12)*365</f>
        <v>83.168299050150011</v>
      </c>
      <c r="E10" s="24">
        <f>(AVERAGE('Financial Statements'!D51:E51)/'Financial Statements'!D12)*365</f>
        <v>91.048189715674198</v>
      </c>
      <c r="K10" s="32" t="s">
        <v>4</v>
      </c>
      <c r="L10" s="23">
        <f>('Financial Statements'!B10-'Financial Statements'!C10)/'Financial Statements'!C10</f>
        <v>4.7876379599097081E-2</v>
      </c>
      <c r="M10" s="23">
        <f>('Financial Statements'!C10-'Financial Statements'!D10)/'Financial Statements'!D10</f>
        <v>0.27087767539626934</v>
      </c>
      <c r="N10" s="31"/>
    </row>
    <row r="11" spans="1:14" ht="15.6" x14ac:dyDescent="0.3">
      <c r="A11" s="44">
        <f t="shared" si="0"/>
        <v>1.7000000000000006</v>
      </c>
      <c r="B11" s="32" t="s">
        <v>106</v>
      </c>
      <c r="C11" s="24">
        <f>(AVERAGE('Financial Statements'!B38:C38)/'Financial Statements'!B8)*365</f>
        <v>25.205704388225033</v>
      </c>
      <c r="D11" s="24">
        <f>(AVERAGE('Financial Statements'!C38:D38)/'Financial Statements'!C8)*365</f>
        <v>21.151655062503931</v>
      </c>
      <c r="E11" s="24">
        <f>(AVERAGE('Financial Statements'!D38:E38)/'Financial Statements'!D8)*365</f>
        <v>21.433437152796749</v>
      </c>
      <c r="K11" s="33" t="s">
        <v>5</v>
      </c>
      <c r="L11" s="34">
        <f>('Financial Statements'!B11-'Financial Statements'!C11)/'Financial Statements'!C11</f>
        <v>6.5652908520395847E-2</v>
      </c>
      <c r="M11" s="34">
        <f>('Financial Statements'!C11-'Financial Statements'!D11)/'Financial Statements'!D11</f>
        <v>0.13363979642094895</v>
      </c>
      <c r="N11" s="31"/>
    </row>
    <row r="12" spans="1:14" ht="15.6" x14ac:dyDescent="0.3">
      <c r="A12" s="44">
        <f t="shared" si="0"/>
        <v>1.8000000000000007</v>
      </c>
      <c r="B12" s="32" t="s">
        <v>107</v>
      </c>
      <c r="C12" s="24">
        <f>ABS(C9+C11-C10)</f>
        <v>62.435049640028673</v>
      </c>
      <c r="D12" s="24">
        <f t="shared" ref="D12:E12" si="1">ABS(D9+D11-D10)</f>
        <v>52.898541903422604</v>
      </c>
      <c r="E12" s="24">
        <f t="shared" si="1"/>
        <v>60.872869206641568</v>
      </c>
      <c r="K12" s="37" t="s">
        <v>8</v>
      </c>
      <c r="L12" s="38">
        <f>('Financial Statements'!B12-'Financial Statements'!C12)/'Financial Statements'!C12</f>
        <v>4.9605363858747961E-2</v>
      </c>
      <c r="M12" s="38">
        <f>('Financial Statements'!C12-'Financial Statements'!D12)/'Financial Statements'!D12</f>
        <v>0.25608785142634716</v>
      </c>
      <c r="N12" s="31"/>
    </row>
    <row r="13" spans="1:14" ht="15.6" x14ac:dyDescent="0.3">
      <c r="A13" s="44">
        <f t="shared" si="0"/>
        <v>1.9000000000000008</v>
      </c>
      <c r="B13" s="32" t="s">
        <v>108</v>
      </c>
      <c r="C13" s="23">
        <f>C14/'Financial Statements'!B8</f>
        <v>-4.711052727678481E-2</v>
      </c>
      <c r="D13" s="23">
        <f>D14/'Financial Statements'!C8</f>
        <v>2.557289573748623E-2</v>
      </c>
      <c r="E13" s="23">
        <f>E14/'Financial Statements'!D8</f>
        <v>0.13959528623208203</v>
      </c>
      <c r="K13" s="35" t="s">
        <v>9</v>
      </c>
      <c r="L13" s="36">
        <f>('Financial Statements'!B13-'Financial Statements'!C13)/'Financial Statements'!C13</f>
        <v>0.11741997958596143</v>
      </c>
      <c r="M13" s="36">
        <f>('Financial Statements'!C13-'Financial Statements'!D13)/'Financial Statements'!D13</f>
        <v>0.45619116582186819</v>
      </c>
      <c r="N13" s="31"/>
    </row>
    <row r="14" spans="1:14" ht="15.6" x14ac:dyDescent="0.3">
      <c r="A14" s="44"/>
      <c r="B14" s="45" t="s">
        <v>109</v>
      </c>
      <c r="C14" s="49">
        <f>'Financial Statements'!B42-'Financial Statements'!B56</f>
        <v>-18577</v>
      </c>
      <c r="D14" s="26">
        <f>'Financial Statements'!C42-'Financial Statements'!C56</f>
        <v>9355</v>
      </c>
      <c r="E14" s="26">
        <f>'Financial Statements'!D42-'Financial Statements'!D56</f>
        <v>38321</v>
      </c>
      <c r="K14" s="30" t="s">
        <v>10</v>
      </c>
      <c r="L14" s="23"/>
      <c r="M14" s="23"/>
      <c r="N14" s="31"/>
    </row>
    <row r="15" spans="1:14" ht="15.6" x14ac:dyDescent="0.3">
      <c r="A15" s="44"/>
      <c r="B15" s="31"/>
      <c r="C15" s="25"/>
      <c r="D15" s="25"/>
      <c r="E15" s="25"/>
      <c r="K15" s="32" t="s">
        <v>11</v>
      </c>
      <c r="L15" s="23">
        <f>('Financial Statements'!B15-'Financial Statements'!C15)/'Financial Statements'!C15</f>
        <v>0.19791001186456147</v>
      </c>
      <c r="M15" s="23">
        <f>('Financial Statements'!C15-'Financial Statements'!D15)/'Financial Statements'!D15</f>
        <v>0.16862201365187712</v>
      </c>
      <c r="N15" s="31"/>
    </row>
    <row r="16" spans="1:14" ht="15.6" x14ac:dyDescent="0.3">
      <c r="A16" s="44">
        <f>+A4+1</f>
        <v>2</v>
      </c>
      <c r="B16" s="46" t="s">
        <v>110</v>
      </c>
      <c r="C16" s="25"/>
      <c r="D16" s="25"/>
      <c r="E16" s="25"/>
      <c r="K16" s="39" t="s">
        <v>12</v>
      </c>
      <c r="L16" s="40">
        <f>('Financial Statements'!B16-'Financial Statements'!C16)/'Financial Statements'!C16</f>
        <v>0.14203795567287125</v>
      </c>
      <c r="M16" s="40">
        <f>('Financial Statements'!C16-'Financial Statements'!D16)/'Financial Statements'!D16</f>
        <v>0.10328379192608958</v>
      </c>
      <c r="N16" s="31"/>
    </row>
    <row r="17" spans="1:14" ht="15.6" x14ac:dyDescent="0.3">
      <c r="A17" s="44">
        <f>+A16+0.1</f>
        <v>2.1</v>
      </c>
      <c r="B17" s="32" t="s">
        <v>9</v>
      </c>
      <c r="C17" s="23">
        <f>'Financial Statements'!B13/'Financial Statements'!B8</f>
        <v>0.43309630561360085</v>
      </c>
      <c r="D17" s="23">
        <f>'Financial Statements'!C13/'Financial Statements'!C8</f>
        <v>0.41779359625167778</v>
      </c>
      <c r="E17" s="23">
        <f>'Financial Statements'!D13/'Financial Statements'!D8</f>
        <v>0.38233247727810865</v>
      </c>
      <c r="K17" s="31"/>
      <c r="L17" s="31"/>
      <c r="M17" s="31"/>
      <c r="N17" s="31"/>
    </row>
    <row r="18" spans="1:14" ht="15.6" x14ac:dyDescent="0.3">
      <c r="A18" s="44">
        <f>+A17+0.1</f>
        <v>2.2000000000000002</v>
      </c>
      <c r="B18" s="32" t="s">
        <v>111</v>
      </c>
      <c r="C18" s="23">
        <f>C19/'Financial Statements'!B8</f>
        <v>0.33815757440506383</v>
      </c>
      <c r="D18" s="23">
        <f>D19/'Financial Statements'!C8</f>
        <v>0.36640178012503521</v>
      </c>
      <c r="E18" s="23">
        <f>E19/'Financial Statements'!D8</f>
        <v>0.29495655975083329</v>
      </c>
      <c r="K18" s="31"/>
      <c r="L18" s="31"/>
      <c r="M18" s="31"/>
      <c r="N18" s="31"/>
    </row>
    <row r="19" spans="1:14" ht="15.6" x14ac:dyDescent="0.3">
      <c r="A19" s="44"/>
      <c r="B19" s="45" t="s">
        <v>112</v>
      </c>
      <c r="C19" s="28">
        <f>'Financial Statements'!B22+'Financial Statements'!B79+'Financial Statements'!B113+'Financial Statements'!B114</f>
        <v>133345</v>
      </c>
      <c r="D19" s="28">
        <f>'Financial Statements'!C22+'Financial Statements'!C79+'Financial Statements'!C113+'Financial Statements'!C114</f>
        <v>134036</v>
      </c>
      <c r="E19" s="28">
        <f>'Financial Statements'!D22+'Financial Statements'!D79+'Financial Statements'!D113+'Financial Statements'!D114</f>
        <v>80970</v>
      </c>
      <c r="G19" t="s">
        <v>156</v>
      </c>
      <c r="K19" s="35" t="s">
        <v>153</v>
      </c>
      <c r="L19" s="41"/>
      <c r="M19" s="41"/>
      <c r="N19" s="41"/>
    </row>
    <row r="20" spans="1:14" ht="15.6" x14ac:dyDescent="0.3">
      <c r="A20" s="44">
        <f>+A18+0.1</f>
        <v>2.3000000000000003</v>
      </c>
      <c r="B20" s="32" t="s">
        <v>113</v>
      </c>
      <c r="C20" s="23">
        <f>C21/'Financial Statements'!B8</f>
        <v>0.30999827554726017</v>
      </c>
      <c r="D20" s="23">
        <f>D21/'Financial Statements'!C8</f>
        <v>0.33555575602008653</v>
      </c>
      <c r="E20" s="23">
        <f>E21/'Financial Statements'!D8</f>
        <v>0.25468189352130122</v>
      </c>
      <c r="K20" s="41" t="s">
        <v>31</v>
      </c>
      <c r="L20" s="40">
        <f>('Financial Statements'!B42-'Financial Statements'!C42)/'Financial Statements'!C42</f>
        <v>4.2199412619775131E-3</v>
      </c>
      <c r="M20" s="40">
        <f>('Financial Statements'!C42-'Financial Statements'!D42)/'Financial Statements'!D42</f>
        <v>-6.176894226687913E-2</v>
      </c>
      <c r="N20" s="42"/>
    </row>
    <row r="21" spans="1:14" ht="15.6" x14ac:dyDescent="0.3">
      <c r="A21" s="44"/>
      <c r="B21" s="45" t="s">
        <v>114</v>
      </c>
      <c r="C21" s="28">
        <f>'Financial Statements'!B22+'Financial Statements'!B113+'Financial Statements'!B114</f>
        <v>122241</v>
      </c>
      <c r="D21" s="28">
        <f>'Financial Statements'!C22+'Financial Statements'!C113+'Financial Statements'!C114</f>
        <v>122752</v>
      </c>
      <c r="E21" s="28">
        <f>'Financial Statements'!D22+'Financial Statements'!D113+'Financial Statements'!D114</f>
        <v>69914</v>
      </c>
      <c r="K21" s="41" t="s">
        <v>50</v>
      </c>
      <c r="L21" s="40">
        <f>('Financial Statements'!B47-'Financial Statements'!C47)/'Financial Statements'!C47</f>
        <v>5.4772720964443994E-3</v>
      </c>
      <c r="M21" s="40">
        <f>('Financial Statements'!C47-'Financial Statements'!D47)/'Financial Statements'!D47</f>
        <v>0.19975579297904814</v>
      </c>
      <c r="N21" s="40"/>
    </row>
    <row r="22" spans="1:14" ht="15.6" x14ac:dyDescent="0.3">
      <c r="A22" s="44">
        <f>+A20+0.1</f>
        <v>2.4000000000000004</v>
      </c>
      <c r="B22" s="32" t="s">
        <v>115</v>
      </c>
      <c r="C22" s="23">
        <f>'Financial Statements'!B22/'Financial Statements'!B8</f>
        <v>0.25309640705199732</v>
      </c>
      <c r="D22" s="23">
        <f>'Financial Statements'!C22/'Financial Statements'!C8</f>
        <v>0.25881793355694238</v>
      </c>
      <c r="E22" s="23">
        <f>'Financial Statements'!D22/'Financial Statements'!D8</f>
        <v>0.20913611278072236</v>
      </c>
      <c r="K22" s="41" t="s">
        <v>33</v>
      </c>
      <c r="L22" s="40">
        <f>('Financial Statements'!B48-'Financial Statements'!C48)/'Financial Statements'!C48</f>
        <v>4.9942735369029236E-3</v>
      </c>
      <c r="M22" s="40">
        <f>('Financial Statements'!C48-'Financial Statements'!D48)/'Financial Statements'!D48</f>
        <v>8.3714123400681711E-2</v>
      </c>
      <c r="N22" s="42"/>
    </row>
    <row r="23" spans="1:14" ht="15.6" x14ac:dyDescent="0.3">
      <c r="A23" s="44"/>
      <c r="B23" s="31"/>
      <c r="C23" s="25"/>
      <c r="D23" s="25"/>
      <c r="E23" s="25"/>
      <c r="K23" s="41" t="s">
        <v>40</v>
      </c>
      <c r="L23" s="40">
        <f>('Financial Statements'!B56-'Financial Statements'!C56)/'Financial Statements'!C56</f>
        <v>0.22713398841258836</v>
      </c>
      <c r="M23" s="40">
        <f>('Financial Statements'!C56-'Financial Statements'!D56)/'Financial Statements'!D56</f>
        <v>0.19061219067860938</v>
      </c>
      <c r="N23" s="42"/>
    </row>
    <row r="24" spans="1:14" ht="15.6" x14ac:dyDescent="0.3">
      <c r="A24" s="44">
        <f>+A16+1</f>
        <v>3</v>
      </c>
      <c r="B24" s="30" t="s">
        <v>116</v>
      </c>
      <c r="C24" s="25"/>
      <c r="D24" s="25"/>
      <c r="E24" s="25"/>
      <c r="K24" s="43" t="s">
        <v>53</v>
      </c>
      <c r="L24" s="40">
        <f>('Financial Statements'!B61-'Financial Statements'!C61)/'Financial Statements'!C61</f>
        <v>-8.8222075835277747E-2</v>
      </c>
      <c r="M24" s="40">
        <f>('Financial Statements'!C61-'Financial Statements'!D61)/'Financial Statements'!D61</f>
        <v>6.0552243775994566E-2</v>
      </c>
      <c r="N24" s="42"/>
    </row>
    <row r="25" spans="1:14" ht="15.6" x14ac:dyDescent="0.3">
      <c r="A25" s="44">
        <f>+A24+0.1</f>
        <v>3.1</v>
      </c>
      <c r="B25" s="32" t="s">
        <v>117</v>
      </c>
      <c r="C25" s="24">
        <f>'Financial Statements'!B62/'Financial Statements'!B68</f>
        <v>5.9615369434796337</v>
      </c>
      <c r="D25" s="24">
        <f>'Financial Statements'!C62/'Financial Statements'!C68</f>
        <v>4.5635124425423994</v>
      </c>
      <c r="E25" s="24">
        <f>'Financial Statements'!D62/'Financial Statements'!D68</f>
        <v>3.9570394404566951</v>
      </c>
      <c r="G25" t="s">
        <v>157</v>
      </c>
      <c r="K25" s="41" t="s">
        <v>41</v>
      </c>
      <c r="L25" s="40">
        <f>('Financial Statements'!B62-'Financial Statements'!C62)/'Financial Statements'!C62</f>
        <v>4.9219900525160468E-2</v>
      </c>
      <c r="M25" s="40">
        <f>('Financial Statements'!C62-'Financial Statements'!D62)/'Financial Statements'!D62</f>
        <v>0.11356841449783213</v>
      </c>
      <c r="N25" s="42"/>
    </row>
    <row r="26" spans="1:14" ht="15.6" x14ac:dyDescent="0.3">
      <c r="A26" s="44">
        <f t="shared" ref="A26:A30" si="2">+A25+0.1</f>
        <v>3.2</v>
      </c>
      <c r="B26" s="32" t="s">
        <v>118</v>
      </c>
      <c r="C26" s="24">
        <f>'Financial Statements'!B62/'Financial Statements'!B48</f>
        <v>0.85635355983614692</v>
      </c>
      <c r="D26" s="24">
        <f>'Financial Statements'!C62/'Financial Statements'!C48</f>
        <v>0.82025743443057308</v>
      </c>
      <c r="E26" s="24">
        <f>'Financial Statements'!D62/'Financial Statements'!D48</f>
        <v>0.79826668477992391</v>
      </c>
      <c r="G26" t="s">
        <v>157</v>
      </c>
      <c r="K26" s="41" t="s">
        <v>45</v>
      </c>
      <c r="L26" s="40">
        <f>('Financial Statements'!B68-'Financial Statements'!C68)/'Financial Statements'!C68</f>
        <v>-0.19682992550324932</v>
      </c>
      <c r="M26" s="40">
        <f>('Financial Statements'!C68-'Financial Statements'!D68)/'Financial Statements'!D68</f>
        <v>-3.4420483937617659E-2</v>
      </c>
      <c r="N26" s="42"/>
    </row>
    <row r="27" spans="1:14" ht="15.6" x14ac:dyDescent="0.3">
      <c r="A27" s="44">
        <f t="shared" si="2"/>
        <v>3.3000000000000003</v>
      </c>
      <c r="B27" s="32" t="s">
        <v>119</v>
      </c>
      <c r="C27" s="24">
        <f>'Financial Statements'!B61/'Financial Statements'!B69</f>
        <v>0.41984096610962285</v>
      </c>
      <c r="D27" s="24">
        <f>'Financial Statements'!C61/'Financial Statements'!C69</f>
        <v>0.46276374493592631</v>
      </c>
      <c r="E27" s="24">
        <f>'Financial Statements'!D61/'Financial Statements'!D69</f>
        <v>0.47287025144494393</v>
      </c>
      <c r="G27" t="s">
        <v>157</v>
      </c>
      <c r="K27" s="41" t="s">
        <v>46</v>
      </c>
      <c r="L27" s="40">
        <f>('Financial Statements'!B69-'Financial Statements'!C69)/'Financial Statements'!C69</f>
        <v>4.9942735369029236E-3</v>
      </c>
      <c r="M27" s="40">
        <f>('Financial Statements'!C69-'Financial Statements'!D69)/'Financial Statements'!D69</f>
        <v>8.3714123400681711E-2</v>
      </c>
      <c r="N27" s="42"/>
    </row>
    <row r="28" spans="1:14" ht="15.6" x14ac:dyDescent="0.3">
      <c r="A28" s="44">
        <f t="shared" si="2"/>
        <v>3.4000000000000004</v>
      </c>
      <c r="B28" s="32" t="s">
        <v>120</v>
      </c>
      <c r="C28" s="24">
        <f>C21/'Financial Statements'!B114</f>
        <v>42.667015706806282</v>
      </c>
      <c r="D28" s="24">
        <f>D21/'Financial Statements'!C114</f>
        <v>45.683662076665428</v>
      </c>
      <c r="E28" s="24">
        <f>E21/'Financial Statements'!D114</f>
        <v>23.289140572951364</v>
      </c>
    </row>
    <row r="29" spans="1:14" ht="15.6" x14ac:dyDescent="0.3">
      <c r="A29" s="44">
        <f t="shared" si="2"/>
        <v>3.5000000000000004</v>
      </c>
      <c r="B29" s="32" t="s">
        <v>121</v>
      </c>
      <c r="C29" s="24">
        <f>'Financial Statements'!B22/ABS('Financial Statements'!B105)</f>
        <v>10.458241643089176</v>
      </c>
      <c r="D29" s="24">
        <f>'Financial Statements'!C22/ABS('Financial Statements'!C105)</f>
        <v>10.820571428571428</v>
      </c>
      <c r="E29" s="24">
        <f>'Financial Statements'!D22/ABS('Financial Statements'!D105)</f>
        <v>4.5459656346504076</v>
      </c>
      <c r="G29" t="s">
        <v>158</v>
      </c>
    </row>
    <row r="30" spans="1:14" ht="15.6" x14ac:dyDescent="0.3">
      <c r="A30" s="44">
        <f t="shared" si="2"/>
        <v>3.6000000000000005</v>
      </c>
      <c r="B30" s="32" t="s">
        <v>122</v>
      </c>
      <c r="C30" s="29">
        <f>C31/'Financial Statements'!B27</f>
        <v>8.0257336551643587E-3</v>
      </c>
      <c r="D30" s="29">
        <f>D31/'Financial Statements'!C27</f>
        <v>7.1871172447224383E-3</v>
      </c>
      <c r="E30" s="29">
        <f>E31/'Financial Statements'!D27</f>
        <v>4.2413840061839136E-3</v>
      </c>
      <c r="K30" s="30" t="s">
        <v>151</v>
      </c>
      <c r="L30" s="31"/>
      <c r="M30" s="31"/>
      <c r="N30" s="31"/>
    </row>
    <row r="31" spans="1:14" ht="15.6" x14ac:dyDescent="0.3">
      <c r="A31" s="44"/>
      <c r="B31" s="45" t="s">
        <v>123</v>
      </c>
      <c r="C31" s="28">
        <f>'Financial Statements'!B18-'Financial Statements'!B96</f>
        <v>130145</v>
      </c>
      <c r="D31" s="28">
        <f>'Financial Statements'!C18-'Financial Statements'!C96</f>
        <v>120034</v>
      </c>
      <c r="E31" s="28">
        <f>'Financial Statements'!D18-'Financial Statements'!D96</f>
        <v>73597</v>
      </c>
      <c r="G31" t="s">
        <v>159</v>
      </c>
      <c r="K31" s="32" t="s">
        <v>146</v>
      </c>
      <c r="L31" s="23">
        <f>'Financial Statements'!B12/'Financial Statements'!B8</f>
        <v>0.56690369438639909</v>
      </c>
      <c r="M31" s="23">
        <f>'Financial Statements'!C12/'Financial Statements'!C8</f>
        <v>0.58220640374832222</v>
      </c>
      <c r="N31" s="23">
        <f>'Financial Statements'!D12/'Financial Statements'!D8</f>
        <v>0.61766752272189129</v>
      </c>
    </row>
    <row r="32" spans="1:14" ht="15.6" x14ac:dyDescent="0.3">
      <c r="A32" s="44"/>
      <c r="B32" s="31"/>
      <c r="C32" s="28"/>
      <c r="D32" s="28"/>
      <c r="E32" s="28"/>
      <c r="K32" s="32" t="s">
        <v>89</v>
      </c>
      <c r="L32" s="23">
        <f>'Financial Statements'!B13/'Financial Statements'!B8</f>
        <v>0.43309630561360085</v>
      </c>
      <c r="M32" s="23">
        <f>'Financial Statements'!C13/'Financial Statements'!C8</f>
        <v>0.41779359625167778</v>
      </c>
      <c r="N32" s="23">
        <f>'Financial Statements'!D13/'Financial Statements'!D8</f>
        <v>0.38233247727810865</v>
      </c>
    </row>
    <row r="33" spans="1:14" ht="15.6" x14ac:dyDescent="0.3">
      <c r="A33" s="44">
        <f>+A24+1</f>
        <v>4</v>
      </c>
      <c r="B33" s="46" t="s">
        <v>124</v>
      </c>
      <c r="C33" s="25"/>
      <c r="D33" s="25"/>
      <c r="E33" s="25"/>
      <c r="K33" s="30" t="s">
        <v>10</v>
      </c>
      <c r="L33" s="23"/>
      <c r="M33" s="23"/>
      <c r="N33" s="23"/>
    </row>
    <row r="34" spans="1:14" ht="15.6" x14ac:dyDescent="0.3">
      <c r="A34" s="44">
        <f>+A33+0.1</f>
        <v>4.0999999999999996</v>
      </c>
      <c r="B34" s="32" t="s">
        <v>125</v>
      </c>
      <c r="C34" s="24">
        <f>'Financial Statements'!B13/'Financial Statements'!B48</f>
        <v>0.48413771597851202</v>
      </c>
      <c r="D34" s="24">
        <f>'Financial Statements'!C13/'Financial Statements'!C48</f>
        <v>0.43542771836057914</v>
      </c>
      <c r="E34" s="24">
        <f>'Financial Statements'!D13/'Financial Statements'!D48</f>
        <v>0.32405028898878624</v>
      </c>
      <c r="G34" t="s">
        <v>160</v>
      </c>
      <c r="K34" s="32" t="s">
        <v>11</v>
      </c>
      <c r="L34" s="23">
        <f>'Financial Statements'!B15/'Financial Statements'!B8</f>
        <v>6.657148363798665E-2</v>
      </c>
      <c r="M34" s="23">
        <f>'Financial Statements'!C15/'Financial Statements'!C8</f>
        <v>5.9904269074427925E-2</v>
      </c>
      <c r="N34" s="23">
        <f>'Financial Statements'!D15/'Financial Statements'!D8</f>
        <v>6.8309564140393061E-2</v>
      </c>
    </row>
    <row r="35" spans="1:14" ht="15.6" x14ac:dyDescent="0.3">
      <c r="A35" s="44">
        <f t="shared" ref="A35:A37" si="3">+A34+0.1</f>
        <v>4.1999999999999993</v>
      </c>
      <c r="B35" s="32" t="s">
        <v>126</v>
      </c>
      <c r="C35" s="24">
        <f>'Financial Statements'!B13/'Financial Statements'!B47</f>
        <v>0.78574649183344836</v>
      </c>
      <c r="D35" s="24">
        <f>'Financial Statements'!C13/'Financial Statements'!C47</f>
        <v>0.70703070788190558</v>
      </c>
      <c r="E35" s="24">
        <f>'Financial Statements'!D13/'Financial Statements'!D47</f>
        <v>0.58252254752324129</v>
      </c>
      <c r="G35" t="s">
        <v>161</v>
      </c>
      <c r="K35" s="39" t="s">
        <v>12</v>
      </c>
      <c r="L35" s="23">
        <f>'Financial Statements'!B16/'Financial Statements'!B8</f>
        <v>6.3637378020328261E-2</v>
      </c>
      <c r="M35" s="23">
        <f>'Financial Statements'!C16/'Financial Statements'!C8</f>
        <v>6.006555190163388E-2</v>
      </c>
      <c r="N35" s="23">
        <f>'Financial Statements'!D16/'Financial Statements'!D8</f>
        <v>7.2549769593646979E-2</v>
      </c>
    </row>
    <row r="36" spans="1:14" ht="15.6" x14ac:dyDescent="0.3">
      <c r="A36" s="44">
        <f t="shared" si="3"/>
        <v>4.2999999999999989</v>
      </c>
      <c r="B36" s="32" t="s">
        <v>127</v>
      </c>
      <c r="C36" s="24">
        <f>'Financial Statements'!B8/AVERAGE('Financial Statements'!B39+'Financial Statements'!C39)</f>
        <v>34.212042339059515</v>
      </c>
      <c r="D36" s="24">
        <f>'Financial Statements'!C8/AVERAGE('Financial Statements'!C39+'Financial Statements'!D39)</f>
        <v>34.378065971243302</v>
      </c>
      <c r="E36" s="24">
        <f>'Financial Statements'!D8/AVERAGE('Financial Statements'!D39+'Financial Statements'!E39)</f>
        <v>67.597882295001227</v>
      </c>
      <c r="G36" t="s">
        <v>162</v>
      </c>
      <c r="K36" s="32" t="s">
        <v>14</v>
      </c>
      <c r="L36" s="23">
        <f>'Financial Statements'!B18/'Financial Statements'!B8</f>
        <v>0.30288744395528594</v>
      </c>
      <c r="M36" s="23">
        <f>'Financial Statements'!C18/'Financial Statements'!C8</f>
        <v>0.29782377527561593</v>
      </c>
      <c r="N36" s="23">
        <f>'Financial Statements'!D18/'Financial Statements'!D8</f>
        <v>0.24147314354406862</v>
      </c>
    </row>
    <row r="37" spans="1:14" ht="15.6" x14ac:dyDescent="0.3">
      <c r="A37" s="44">
        <f t="shared" si="3"/>
        <v>4.3999999999999986</v>
      </c>
      <c r="B37" s="32" t="s">
        <v>128</v>
      </c>
      <c r="C37" s="23">
        <f>'Financial Statements'!B22/'Financial Statements'!B48</f>
        <v>0.28292440929256851</v>
      </c>
      <c r="D37" s="23">
        <f>'Financial Statements'!C22/'Financial Statements'!C48</f>
        <v>0.26974205275183616</v>
      </c>
      <c r="E37" s="23">
        <f>'Financial Statements'!D22/'Financial Statements'!D48</f>
        <v>0.1772557180259843</v>
      </c>
      <c r="K37" s="32" t="s">
        <v>93</v>
      </c>
      <c r="L37" s="23">
        <f>'Financial Statements'!B22/'Financial Statements'!B8</f>
        <v>0.25309640705199732</v>
      </c>
      <c r="M37" s="23">
        <f>'Financial Statements'!C22/'Financial Statements'!C8</f>
        <v>0.25881793355694238</v>
      </c>
      <c r="N37" s="23">
        <f>'Financial Statements'!D22/'Financial Statements'!D8</f>
        <v>0.20913611278072236</v>
      </c>
    </row>
    <row r="38" spans="1:14" ht="15.6" x14ac:dyDescent="0.3">
      <c r="A38" s="44"/>
      <c r="B38" s="31"/>
      <c r="C38" s="25"/>
      <c r="D38" s="25"/>
      <c r="E38" s="25"/>
      <c r="K38" s="31"/>
      <c r="L38" s="31"/>
      <c r="M38" s="31"/>
      <c r="N38" s="31"/>
    </row>
    <row r="39" spans="1:14" ht="15.6" x14ac:dyDescent="0.3">
      <c r="A39" s="44">
        <f>+A33+1</f>
        <v>5</v>
      </c>
      <c r="B39" s="46" t="s">
        <v>129</v>
      </c>
      <c r="C39" s="25"/>
      <c r="D39" s="25"/>
      <c r="E39" s="25"/>
      <c r="K39" s="47" t="s">
        <v>152</v>
      </c>
    </row>
    <row r="40" spans="1:14" ht="15.6" x14ac:dyDescent="0.3">
      <c r="A40" s="44">
        <f>+A39+0.1</f>
        <v>5.0999999999999996</v>
      </c>
      <c r="B40" s="32" t="s">
        <v>130</v>
      </c>
      <c r="C40" s="24">
        <f>C56/C41</f>
        <v>22.471544715447152</v>
      </c>
      <c r="D40" s="24">
        <f>C57/D41</f>
        <v>24.955908289241624</v>
      </c>
      <c r="E40" s="24">
        <f>C58/E41</f>
        <v>34.987915407854985</v>
      </c>
      <c r="K40" s="32" t="s">
        <v>94</v>
      </c>
      <c r="L40" s="23">
        <f>'Financial Statements'!B113/'List of Ratios'!C21</f>
        <v>0.16011812730589572</v>
      </c>
      <c r="M40" s="23">
        <f>'Financial Statements'!C113/'List of Ratios'!D21</f>
        <v>0.20679907455683003</v>
      </c>
      <c r="N40" s="23">
        <f>'Financial Statements'!D113/'List of Ratios'!E21</f>
        <v>0.13589552879251651</v>
      </c>
    </row>
    <row r="41" spans="1:14" ht="15.6" x14ac:dyDescent="0.3">
      <c r="A41" s="44">
        <f t="shared" ref="A41:A44" si="4">+A40+0.1</f>
        <v>5.1999999999999993</v>
      </c>
      <c r="B41" s="45" t="s">
        <v>131</v>
      </c>
      <c r="C41" s="50">
        <f>'Financial Statements'!B24</f>
        <v>6.15</v>
      </c>
      <c r="D41" s="50">
        <f>'Financial Statements'!C24</f>
        <v>5.67</v>
      </c>
      <c r="E41" s="50">
        <f>'Financial Statements'!D24</f>
        <v>3.31</v>
      </c>
      <c r="G41" t="s">
        <v>163</v>
      </c>
      <c r="K41" s="32" t="s">
        <v>95</v>
      </c>
      <c r="L41" s="23">
        <f>ABS('Financial Statements'!B96)/'Financial Statements'!B8</f>
        <v>2.7155058732831552E-2</v>
      </c>
      <c r="M41" s="23">
        <f>ABS('Financial Statements'!C96)/'Financial Statements'!C8</f>
        <v>3.0302036264033657E-2</v>
      </c>
      <c r="N41" s="23">
        <f>ABS('Financial Statements'!D96)/'Financial Statements'!D8</f>
        <v>2.6625138881299748E-2</v>
      </c>
    </row>
    <row r="42" spans="1:14" ht="15.6" x14ac:dyDescent="0.3">
      <c r="A42" s="44">
        <f t="shared" si="4"/>
        <v>5.2999999999999989</v>
      </c>
      <c r="B42" s="32" t="s">
        <v>132</v>
      </c>
      <c r="C42" s="28">
        <f>C56/C43</f>
        <v>44226.517338964317</v>
      </c>
      <c r="D42" s="28">
        <f>C57/D43</f>
        <v>37458.075574576003</v>
      </c>
      <c r="E42" s="28">
        <f>C58/E43</f>
        <v>30755.733962717521</v>
      </c>
      <c r="K42" s="32" t="s">
        <v>96</v>
      </c>
      <c r="L42" s="23">
        <f>ABS('Financial Statements'!B96)/'Financial Statements'!B47</f>
        <v>4.9266160570508394E-2</v>
      </c>
      <c r="M42" s="23">
        <f>ABS('Financial Statements'!C96)/'Financial Statements'!C47</f>
        <v>5.1280034788079534E-2</v>
      </c>
      <c r="N42" s="23">
        <f>ABS('Financial Statements'!D96)/'Financial Statements'!D47</f>
        <v>4.0566116275842931E-2</v>
      </c>
    </row>
    <row r="43" spans="1:14" ht="15.6" x14ac:dyDescent="0.3">
      <c r="A43" s="44">
        <f t="shared" si="4"/>
        <v>5.3999999999999986</v>
      </c>
      <c r="B43" s="45" t="s">
        <v>133</v>
      </c>
      <c r="C43" s="29">
        <f>'Financial Statements'!B68/'Financial Statements'!B27</f>
        <v>3.124822127430853E-3</v>
      </c>
      <c r="D43" s="29">
        <f>('Financial Statements'!C48-'Financial Statements'!C62)/'Financial Statements'!C27</f>
        <v>3.7775565837141027E-3</v>
      </c>
      <c r="E43" s="29">
        <f>('Financial Statements'!D48-'Financial Statements'!D62)/'Financial Statements'!D27</f>
        <v>3.7654767120949319E-3</v>
      </c>
      <c r="G43" t="s">
        <v>163</v>
      </c>
    </row>
    <row r="44" spans="1:14" ht="15.6" x14ac:dyDescent="0.3">
      <c r="A44" s="44">
        <f t="shared" si="4"/>
        <v>5.4999999999999982</v>
      </c>
      <c r="B44" s="32" t="s">
        <v>134</v>
      </c>
      <c r="C44" s="24">
        <f>ABS('Financial Statements'!B102)/'Financial Statements'!B22</f>
        <v>0.14870294480125848</v>
      </c>
      <c r="D44" s="24">
        <f>ABS('Financial Statements'!C102)/'Financial Statements'!C22</f>
        <v>0.15279890156316012</v>
      </c>
      <c r="E44" s="24">
        <f>ABS('Financial Statements'!D102)/'Financial Statements'!D22</f>
        <v>0.24526658654264863</v>
      </c>
    </row>
    <row r="45" spans="1:14" ht="15.6" x14ac:dyDescent="0.3">
      <c r="A45" s="44"/>
      <c r="B45" s="45" t="s">
        <v>135</v>
      </c>
      <c r="C45" s="29">
        <f>ABS('Financial Statements'!B102)/'Financial Statements'!B27</f>
        <v>9.1520929099307886E-4</v>
      </c>
      <c r="D45" s="29">
        <f>ABS('Financial Statements'!C102)/'Financial Statements'!C27</f>
        <v>8.6622144708498852E-4</v>
      </c>
      <c r="E45" s="29">
        <f>ABS('Financial Statements'!D102)/'Financial Statements'!D27</f>
        <v>8.1148590555424381E-4</v>
      </c>
      <c r="G45" t="s">
        <v>163</v>
      </c>
    </row>
    <row r="46" spans="1:14" ht="15.6" x14ac:dyDescent="0.3">
      <c r="A46" s="44">
        <f>+A44+0.1</f>
        <v>5.5999999999999979</v>
      </c>
      <c r="B46" s="32" t="s">
        <v>136</v>
      </c>
      <c r="C46" s="48">
        <f>C45/C56</f>
        <v>6.6223537698486176E-6</v>
      </c>
      <c r="D46" s="48">
        <f>D45/C57</f>
        <v>6.1217063398232402E-6</v>
      </c>
      <c r="E46" s="48">
        <f>E45/C58</f>
        <v>7.0070452081361179E-6</v>
      </c>
    </row>
    <row r="47" spans="1:14" ht="15.6" x14ac:dyDescent="0.3">
      <c r="A47" s="44">
        <f t="shared" ref="A47:A50" si="5">+A45+0.1</f>
        <v>0.1</v>
      </c>
      <c r="B47" s="32" t="s">
        <v>137</v>
      </c>
      <c r="C47" s="24">
        <f>'Financial Statements'!B22/AVERAGE('Financial Statements'!B68:C68)</f>
        <v>1.7545929220653644</v>
      </c>
      <c r="D47" s="24">
        <f>'Financial Statements'!C22/AVERAGE('Financial Statements'!C68:D68)</f>
        <v>1.4744333444938449</v>
      </c>
      <c r="E47" s="24">
        <f>'Financial Statements'!D22/AVERAGE('Financial Statements'!D68:E68)</f>
        <v>0.87866358530127486</v>
      </c>
    </row>
    <row r="48" spans="1:14" ht="15.6" x14ac:dyDescent="0.3">
      <c r="A48" s="44">
        <f t="shared" si="5"/>
        <v>5.6999999999999975</v>
      </c>
      <c r="B48" s="32" t="s">
        <v>138</v>
      </c>
      <c r="C48" s="23">
        <f>C21/('Financial Statements'!B48-'Financial Statements'!B56)</f>
        <v>0.61497788935116937</v>
      </c>
      <c r="D48" s="23">
        <f>D21/('Financial Statements'!C48-'Financial Statements'!C56)</f>
        <v>0.54430407811245962</v>
      </c>
      <c r="E48" s="23">
        <f>E21/('Financial Statements'!D48-'Financial Statements'!D56)</f>
        <v>0.31997839777387227</v>
      </c>
      <c r="G48" t="s">
        <v>164</v>
      </c>
    </row>
    <row r="49" spans="1:7" ht="15.6" x14ac:dyDescent="0.3">
      <c r="A49" s="44">
        <f t="shared" si="5"/>
        <v>0.2</v>
      </c>
      <c r="B49" s="32" t="s">
        <v>128</v>
      </c>
      <c r="C49" s="23">
        <f>'Financial Statements'!B22/'Financial Statements'!B48</f>
        <v>0.28292440929256851</v>
      </c>
      <c r="D49" s="23">
        <f>'Financial Statements'!C22/'Financial Statements'!C48</f>
        <v>0.26974205275183616</v>
      </c>
      <c r="E49" s="23">
        <f>'Financial Statements'!D22/'Financial Statements'!D48</f>
        <v>0.1772557180259843</v>
      </c>
    </row>
    <row r="50" spans="1:7" ht="15.6" x14ac:dyDescent="0.3">
      <c r="A50" s="44">
        <f t="shared" si="5"/>
        <v>5.7999999999999972</v>
      </c>
      <c r="B50" s="32" t="s">
        <v>139</v>
      </c>
      <c r="C50" s="24">
        <f>C51/C19</f>
        <v>16920.314325996475</v>
      </c>
      <c r="D50" s="24">
        <f t="shared" ref="D50:E50" si="6">D51/D19</f>
        <v>17804.139570712345</v>
      </c>
      <c r="E50" s="24">
        <f t="shared" si="6"/>
        <v>25070.411712239104</v>
      </c>
    </row>
    <row r="51" spans="1:7" ht="15.6" x14ac:dyDescent="0.3">
      <c r="A51" s="44"/>
      <c r="B51" s="45" t="s">
        <v>140</v>
      </c>
      <c r="C51" s="28">
        <f>(C56*'Financial Statements'!B28)+'Financial Statements'!B55</f>
        <v>2256239313.7999997</v>
      </c>
      <c r="D51" s="28">
        <f>(C57*'Financial Statements'!C28)+'Financial Statements'!C55</f>
        <v>2386395651.5</v>
      </c>
      <c r="E51" s="28">
        <f>(C58*'Financial Statements'!D28)+'Financial Statements'!D55</f>
        <v>2029951236.3400002</v>
      </c>
      <c r="G51" t="s">
        <v>165</v>
      </c>
    </row>
    <row r="52" spans="1:7" ht="15.6" x14ac:dyDescent="0.3">
      <c r="A52" s="31"/>
      <c r="B52" s="31"/>
    </row>
    <row r="55" spans="1:7" ht="15.6" x14ac:dyDescent="0.3">
      <c r="B55" s="51" t="s">
        <v>154</v>
      </c>
      <c r="C55" s="51"/>
    </row>
    <row r="56" spans="1:7" ht="15.6" x14ac:dyDescent="0.3">
      <c r="B56" s="52">
        <v>44834</v>
      </c>
      <c r="C56" s="53">
        <v>138.19999999999999</v>
      </c>
    </row>
    <row r="57" spans="1:7" ht="15.6" x14ac:dyDescent="0.3">
      <c r="B57" s="52">
        <v>44469</v>
      </c>
      <c r="C57" s="53">
        <v>141.5</v>
      </c>
    </row>
    <row r="58" spans="1:7" ht="15.6" x14ac:dyDescent="0.3">
      <c r="B58" s="52">
        <v>44104</v>
      </c>
      <c r="C58" s="53">
        <v>115.81</v>
      </c>
    </row>
    <row r="59" spans="1:7" ht="15.6" x14ac:dyDescent="0.3">
      <c r="B59" s="31"/>
      <c r="C59" s="31"/>
    </row>
    <row r="60" spans="1:7" ht="15.6" x14ac:dyDescent="0.3">
      <c r="B60" s="31"/>
      <c r="C60" s="31"/>
    </row>
  </sheetData>
  <mergeCells count="1">
    <mergeCell ref="C2:E2"/>
  </mergeCells>
  <conditionalFormatting sqref="A1:XFD1048576">
    <cfRule type="cellIs" dxfId="4" priority="1" operator="lessThan">
      <formula>0</formula>
    </cfRule>
  </conditionalFormatting>
  <pageMargins left="0.7" right="0.7" top="0.75" bottom="0.75" header="0.3" footer="0.3"/>
  <pageSetup orientation="portrait" r:id="rId1"/>
  <ignoredErrors>
    <ignoredError sqref="C19:E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2020-05-18T16:32:37Z</dcterms:created>
  <dcterms:modified xsi:type="dcterms:W3CDTF">2023-07-10T16:45:51Z</dcterms:modified>
</cp:coreProperties>
</file>