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horlu\Desktop\investment analyst quill\"/>
    </mc:Choice>
  </mc:AlternateContent>
  <bookViews>
    <workbookView xWindow="0" yWindow="0" windowWidth="23040" windowHeight="7530" activeTab="1"/>
  </bookViews>
  <sheets>
    <sheet name="Instructions" sheetId="2" r:id="rId1"/>
    <sheet name="Financial Statements" sheetId="1" r:id="rId2"/>
    <sheet name="List of Ratios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3" l="1"/>
  <c r="E30" i="3"/>
  <c r="C30" i="3"/>
  <c r="D31" i="3"/>
  <c r="E31" i="3"/>
  <c r="C31" i="3"/>
  <c r="D84" i="3"/>
  <c r="E84" i="3"/>
  <c r="C84" i="3"/>
  <c r="D83" i="3"/>
  <c r="E83" i="3"/>
  <c r="C83" i="3"/>
  <c r="C121" i="1"/>
  <c r="D121" i="1"/>
  <c r="B121" i="1"/>
  <c r="D80" i="3"/>
  <c r="E80" i="3"/>
  <c r="D79" i="3"/>
  <c r="E79" i="3"/>
  <c r="C80" i="3"/>
  <c r="C79" i="3"/>
  <c r="D77" i="3"/>
  <c r="E77" i="3"/>
  <c r="D76" i="3"/>
  <c r="E76" i="3"/>
  <c r="C77" i="3"/>
  <c r="C76" i="3"/>
  <c r="D74" i="3"/>
  <c r="E74" i="3"/>
  <c r="C74" i="3"/>
  <c r="D73" i="3"/>
  <c r="E73" i="3"/>
  <c r="C73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0" i="3"/>
  <c r="C60" i="3"/>
  <c r="D59" i="3"/>
  <c r="C59" i="3"/>
  <c r="D56" i="3"/>
  <c r="C56" i="3"/>
  <c r="D55" i="3"/>
  <c r="C55" i="3"/>
  <c r="D57" i="3"/>
  <c r="C57" i="3"/>
  <c r="D54" i="3"/>
  <c r="C54" i="3"/>
  <c r="D51" i="3"/>
  <c r="E51" i="3"/>
  <c r="C51" i="3"/>
  <c r="C119" i="1"/>
  <c r="D119" i="1"/>
  <c r="B119" i="1"/>
  <c r="D45" i="3"/>
  <c r="D46" i="3" s="1"/>
  <c r="E45" i="3"/>
  <c r="E46" i="3" s="1"/>
  <c r="C45" i="3"/>
  <c r="C46" i="3" s="1"/>
  <c r="E44" i="3"/>
  <c r="D44" i="3"/>
  <c r="C44" i="3"/>
  <c r="D43" i="3"/>
  <c r="D42" i="3" s="1"/>
  <c r="E43" i="3"/>
  <c r="E42" i="3" s="1"/>
  <c r="C43" i="3"/>
  <c r="C42" i="3" s="1"/>
  <c r="D36" i="3"/>
  <c r="E36" i="3"/>
  <c r="C36" i="3"/>
  <c r="D35" i="3"/>
  <c r="E35" i="3"/>
  <c r="C35" i="3"/>
  <c r="D34" i="3"/>
  <c r="E34" i="3"/>
  <c r="C34" i="3"/>
  <c r="D40" i="3"/>
  <c r="E40" i="3"/>
  <c r="C40" i="3"/>
  <c r="D49" i="3"/>
  <c r="E49" i="3"/>
  <c r="C49" i="3"/>
  <c r="D47" i="3"/>
  <c r="E47" i="3"/>
  <c r="C47" i="3"/>
  <c r="D37" i="3"/>
  <c r="E37" i="3"/>
  <c r="C37" i="3"/>
  <c r="D27" i="3"/>
  <c r="E27" i="3"/>
  <c r="C27" i="3"/>
  <c r="D26" i="3"/>
  <c r="E26" i="3"/>
  <c r="C26" i="3"/>
  <c r="D25" i="3"/>
  <c r="E25" i="3"/>
  <c r="C25" i="3"/>
  <c r="D19" i="3"/>
  <c r="D18" i="3" s="1"/>
  <c r="D8" i="3"/>
  <c r="E8" i="3"/>
  <c r="C8" i="3"/>
  <c r="D21" i="3"/>
  <c r="D48" i="3" s="1"/>
  <c r="E21" i="3"/>
  <c r="E48" i="3" s="1"/>
  <c r="C21" i="3"/>
  <c r="C29" i="3" s="1"/>
  <c r="D22" i="3"/>
  <c r="E22" i="3"/>
  <c r="C22" i="3"/>
  <c r="E19" i="3"/>
  <c r="E18" i="3" s="1"/>
  <c r="C19" i="3"/>
  <c r="C18" i="3" s="1"/>
  <c r="D17" i="3"/>
  <c r="E17" i="3"/>
  <c r="C17" i="3"/>
  <c r="D14" i="3"/>
  <c r="E14" i="3"/>
  <c r="C14" i="3"/>
  <c r="D13" i="3"/>
  <c r="E13" i="3"/>
  <c r="C13" i="3"/>
  <c r="E11" i="3"/>
  <c r="D11" i="3"/>
  <c r="C11" i="3"/>
  <c r="D10" i="3"/>
  <c r="E10" i="3"/>
  <c r="C10" i="3"/>
  <c r="D9" i="3"/>
  <c r="E9" i="3"/>
  <c r="C9" i="3"/>
  <c r="D7" i="3"/>
  <c r="E7" i="3"/>
  <c r="C7" i="3"/>
  <c r="D6" i="3"/>
  <c r="E6" i="3"/>
  <c r="C6" i="3"/>
  <c r="D5" i="3"/>
  <c r="E5" i="3"/>
  <c r="C5" i="3"/>
  <c r="D12" i="3" l="1"/>
  <c r="C12" i="3"/>
  <c r="E29" i="3"/>
  <c r="E20" i="3"/>
  <c r="D29" i="3"/>
  <c r="E50" i="3"/>
  <c r="E12" i="3"/>
  <c r="D20" i="3"/>
  <c r="D50" i="3"/>
  <c r="C48" i="3"/>
  <c r="C50" i="3"/>
  <c r="C20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34" i="3"/>
  <c r="A35" i="3" s="1"/>
  <c r="A36" i="3" s="1"/>
  <c r="A37" i="3" s="1"/>
  <c r="A40" i="3" l="1"/>
  <c r="A41" i="3" s="1"/>
  <c r="A42" i="3" s="1"/>
  <c r="A43" i="3" s="1"/>
  <c r="A44" i="3" s="1"/>
  <c r="A46" i="3" s="1"/>
  <c r="A48" i="3" s="1"/>
  <c r="A50" i="3" s="1"/>
  <c r="A53" i="3"/>
  <c r="A72" i="3" l="1"/>
  <c r="A54" i="3"/>
  <c r="A57" i="3" s="1"/>
  <c r="A58" i="3" s="1"/>
  <c r="A61" i="3" s="1"/>
  <c r="A82" i="3" l="1"/>
  <c r="A83" i="3" s="1"/>
  <c r="A84" i="3" s="1"/>
  <c r="A73" i="3"/>
  <c r="A74" i="3" s="1"/>
  <c r="A75" i="3" s="1"/>
  <c r="A79" i="3" s="1"/>
  <c r="A80" i="3" s="1"/>
</calcChain>
</file>

<file path=xl/sharedStrings.xml><?xml version="1.0" encoding="utf-8"?>
<sst xmlns="http://schemas.openxmlformats.org/spreadsheetml/2006/main" count="204" uniqueCount="156">
  <si>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</si>
  <si>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</si>
  <si>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</si>
  <si>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</si>
  <si>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</si>
  <si>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</si>
  <si>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</si>
  <si>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</si>
  <si>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</si>
  <si>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</si>
  <si>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</si>
  <si>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</si>
  <si>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</si>
  <si>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</si>
  <si>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</si>
  <si>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</si>
  <si>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</si>
  <si>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</si>
  <si>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</si>
  <si>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</si>
  <si>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</si>
  <si>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</si>
  <si>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</si>
  <si>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</si>
  <si>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</si>
  <si>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</si>
  <si>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</si>
  <si>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</si>
  <si>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</si>
  <si>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</si>
  <si>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</si>
  <si>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</si>
  <si>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</si>
  <si>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</si>
  <si>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</si>
  <si>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</si>
  <si>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</si>
  <si>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</si>
  <si>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</si>
  <si>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</si>
  <si>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</si>
  <si>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</si>
  <si>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</si>
  <si>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</si>
  <si>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</si>
  <si>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</si>
  <si>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</si>
  <si>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</si>
  <si>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</si>
  <si>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</si>
  <si>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</si>
  <si>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</si>
  <si>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</si>
  <si>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</si>
  <si>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</si>
  <si>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</si>
  <si>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</si>
  <si>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</si>
  <si>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</si>
  <si>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</si>
  <si>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</si>
  <si>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</si>
  <si>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</si>
  <si>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</si>
  <si>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</si>
  <si>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</si>
  <si>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</si>
  <si>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</si>
  <si>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</si>
  <si>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</si>
  <si>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</si>
  <si>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</si>
  <si>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</si>
  <si>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</si>
  <si>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</si>
  <si>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</si>
  <si>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</si>
  <si>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</si>
  <si>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</si>
  <si>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</si>
  <si>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</si>
  <si>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</si>
  <si>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</si>
  <si>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</si>
  <si>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</si>
  <si>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</si>
  <si>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</si>
  <si>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</si>
  <si>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</si>
  <si>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</si>
  <si>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</si>
  <si>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</si>
  <si>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</si>
  <si>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</si>
  <si>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</si>
  <si>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</si>
  <si>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</si>
  <si>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</si>
  <si>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</si>
  <si>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</si>
  <si>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</si>
  <si>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</si>
  <si>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</si>
  <si>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</si>
  <si>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</si>
  <si>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</si>
  <si>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</si>
  <si>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</si>
  <si>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</si>
  <si>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</si>
  <si>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</si>
  <si>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</si>
  <si>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</si>
  <si>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</si>
  <si>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</si>
  <si>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</si>
  <si>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</si>
  <si>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</si>
  <si>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</si>
  <si>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</si>
  <si>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</si>
  <si>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</si>
  <si>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</si>
  <si>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</si>
  <si>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</si>
  <si>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</si>
  <si>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</si>
  <si>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</si>
  <si>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</si>
  <si>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</si>
  <si>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</si>
  <si>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</si>
  <si>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</si>
  <si>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</si>
  <si>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</si>
  <si>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</si>
  <si>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</si>
  <si>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</si>
  <si>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</si>
  <si>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</si>
  <si>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</si>
  <si>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</si>
  <si>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</si>
  <si>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</si>
  <si>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</si>
  <si>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</si>
  <si>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</si>
  <si>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</si>
  <si>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</si>
  <si>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</si>
  <si>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</t>
  </si>
  <si>
    <t xml:space="preserve">Margins as a % of net sales </t>
  </si>
  <si>
    <t>Market share price</t>
  </si>
  <si>
    <t>Market Capitalization</t>
  </si>
  <si>
    <t>Product</t>
  </si>
  <si>
    <t>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</si>
</sst>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5" fontId="0" fillId="0" borderId="0" xfId="0" applyNumberFormat="1"/>
    <xf numFmtId="43" fontId="0" fillId="0" borderId="0" xfId="0" applyNumberFormat="1"/>
    <xf numFmtId="3" fontId="0" fillId="0" borderId="0" xfId="1" applyNumberFormat="1" applyFont="1"/>
    <xf numFmtId="0" fontId="2" fillId="0" borderId="0" xfId="0" applyFont="1" applyBorder="1" applyAlignment="1">
      <alignment horizontal="left"/>
    </xf>
    <xf numFmtId="2" fontId="0" fillId="0" borderId="0" xfId="0" applyNumberFormat="1"/>
    <xf numFmtId="9" fontId="0" fillId="0" borderId="0" xfId="3" applyFont="1"/>
    <xf numFmtId="2" fontId="0" fillId="0" borderId="0" xfId="3" applyNumberFormat="1" applyFont="1"/>
    <xf numFmtId="166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/>
    <xf numFmtId="0" fontId="0" fillId="0" borderId="4" xfId="0" applyFill="1" applyBorder="1" applyAlignment="1">
      <alignment horizontal="left" indent="1"/>
    </xf>
    <xf numFmtId="0" fontId="0" fillId="0" borderId="5" xfId="0" applyFill="1" applyBorder="1" applyAlignment="1">
      <alignment horizontal="left" indent="2"/>
    </xf>
    <xf numFmtId="0" fontId="0" fillId="0" borderId="0" xfId="0" applyFill="1" applyBorder="1" applyAlignment="1">
      <alignment horizontal="left" indent="1"/>
    </xf>
    <xf numFmtId="0" fontId="0" fillId="0" borderId="0" xfId="0" applyFill="1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3" workbookViewId="0">
      <selection activeCell="A23" sqref="A23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topLeftCell="A103" workbookViewId="0">
      <selection activeCell="A103" sqref="A103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5" t="s">
        <v>1</v>
      </c>
      <c r="B2" s="25"/>
      <c r="C2" s="25"/>
      <c r="D2" s="25"/>
    </row>
    <row r="3" spans="1:10" x14ac:dyDescent="0.25">
      <c r="B3" s="24" t="s">
        <v>23</v>
      </c>
      <c r="C3" s="24"/>
      <c r="D3" s="24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  <c r="I10" s="27"/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25" t="s">
        <v>24</v>
      </c>
      <c r="B31" s="25"/>
      <c r="C31" s="25"/>
      <c r="D31" s="25"/>
    </row>
    <row r="32" spans="1:4" x14ac:dyDescent="0.25">
      <c r="B32" s="24" t="s">
        <v>142</v>
      </c>
      <c r="C32" s="24"/>
      <c r="D32" s="24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7" ht="15.75" thickTop="1" x14ac:dyDescent="0.25"/>
    <row r="50" spans="1:7" x14ac:dyDescent="0.25">
      <c r="A50" t="s">
        <v>34</v>
      </c>
    </row>
    <row r="51" spans="1:7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7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7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7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7" x14ac:dyDescent="0.25">
      <c r="A57" t="s">
        <v>51</v>
      </c>
      <c r="B57" s="12"/>
      <c r="C57" s="12"/>
      <c r="D57" s="12"/>
    </row>
    <row r="58" spans="1:7" x14ac:dyDescent="0.25">
      <c r="A58" s="1" t="s">
        <v>37</v>
      </c>
      <c r="B58" s="12"/>
      <c r="C58" s="12"/>
      <c r="D58" s="12"/>
    </row>
    <row r="59" spans="1:7" x14ac:dyDescent="0.25">
      <c r="A59" s="1" t="s">
        <v>39</v>
      </c>
      <c r="B59" s="12">
        <v>98959</v>
      </c>
      <c r="C59" s="12">
        <v>109106</v>
      </c>
      <c r="D59" s="12">
        <v>98667</v>
      </c>
      <c r="G59" s="26"/>
    </row>
    <row r="60" spans="1:7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25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7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7" x14ac:dyDescent="0.25">
      <c r="B63" s="12"/>
      <c r="C63" s="12"/>
      <c r="D63" s="12"/>
    </row>
    <row r="64" spans="1:7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5" t="s">
        <v>55</v>
      </c>
      <c r="B71" s="25"/>
      <c r="C71" s="25"/>
      <c r="D71" s="25"/>
    </row>
    <row r="72" spans="1:4" x14ac:dyDescent="0.25">
      <c r="B72" s="24" t="s">
        <v>23</v>
      </c>
      <c r="C72" s="24"/>
      <c r="D72" s="24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  <row r="117" spans="1:4" x14ac:dyDescent="0.25">
      <c r="A117" t="s">
        <v>152</v>
      </c>
      <c r="B117">
        <v>138.19999999999999</v>
      </c>
      <c r="C117">
        <v>141.5</v>
      </c>
      <c r="D117">
        <v>115.81</v>
      </c>
    </row>
    <row r="119" spans="1:4" x14ac:dyDescent="0.25">
      <c r="A119" t="s">
        <v>153</v>
      </c>
      <c r="B119" s="28">
        <f>B117*4755</f>
        <v>657141</v>
      </c>
      <c r="C119" s="28">
        <f t="shared" ref="C119:D119" si="23">C117*4755</f>
        <v>672832.5</v>
      </c>
      <c r="D119" s="28">
        <f t="shared" si="23"/>
        <v>550676.55000000005</v>
      </c>
    </row>
    <row r="121" spans="1:4" x14ac:dyDescent="0.25">
      <c r="A121" t="s">
        <v>155</v>
      </c>
      <c r="B121" s="26">
        <f>(B45-C45)+B79</f>
        <v>13781</v>
      </c>
      <c r="C121" s="26">
        <f t="shared" ref="C121:D121" si="24">(C45-D45)+C79</f>
        <v>13958</v>
      </c>
      <c r="D121" s="26">
        <f t="shared" si="24"/>
        <v>47822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70" workbookViewId="0">
      <selection activeCell="I36" sqref="I36"/>
    </sheetView>
  </sheetViews>
  <sheetFormatPr defaultRowHeight="15" x14ac:dyDescent="0.25"/>
  <cols>
    <col min="1" max="1" width="4.7109375" customWidth="1"/>
    <col min="2" max="2" width="44.85546875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4" t="s">
        <v>23</v>
      </c>
      <c r="D2" s="24"/>
      <c r="E2" s="24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5">
      <c r="A6" s="18">
        <f t="shared" ref="A6:A13" si="0">+A5+0.1</f>
        <v>1.2000000000000002</v>
      </c>
      <c r="B6" s="1" t="s">
        <v>101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Statements'!D39)/'Financial Statements'!D56</f>
        <v>1.325072111735236</v>
      </c>
    </row>
    <row r="7" spans="1:10" x14ac:dyDescent="0.25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25">
      <c r="A8" s="18">
        <f t="shared" si="0"/>
        <v>1.4000000000000004</v>
      </c>
      <c r="B8" s="1" t="s">
        <v>103</v>
      </c>
      <c r="C8">
        <f>'Financial Statements'!B42/('Financial Statements'!B17/365)</f>
        <v>962.56354075372474</v>
      </c>
      <c r="D8">
        <f>'Financial Statements'!C42/('Financial Statements'!C17/365)</f>
        <v>1121.4058832911796</v>
      </c>
      <c r="E8">
        <f>'Financial Statements'!D42/('Financial Statements'!D17/365)</f>
        <v>1356.5543860556534</v>
      </c>
    </row>
    <row r="9" spans="1:10" x14ac:dyDescent="0.25">
      <c r="A9" s="18">
        <f t="shared" si="0"/>
        <v>1.5000000000000004</v>
      </c>
      <c r="B9" s="1" t="s">
        <v>104</v>
      </c>
      <c r="C9">
        <f>('Financial Statements'!B39/'Financial Statements'!B12)*365</f>
        <v>8.0756980666171607</v>
      </c>
      <c r="D9">
        <f>('Financial Statements'!C39/'Financial Statements'!C12)*365</f>
        <v>11.27659274770989</v>
      </c>
      <c r="E9">
        <f>('Financial Statements'!D39/'Financial Statements'!D12)*365</f>
        <v>8.7418833562358831</v>
      </c>
    </row>
    <row r="10" spans="1:10" x14ac:dyDescent="0.25">
      <c r="A10" s="18">
        <f t="shared" si="0"/>
        <v>1.6000000000000005</v>
      </c>
      <c r="B10" s="1" t="s">
        <v>105</v>
      </c>
      <c r="C10">
        <f>('Financial Statements'!B51/'Financial Statements'!B12)*365</f>
        <v>104.68527730310539</v>
      </c>
      <c r="D10">
        <f>('Financial Statements'!C51/'Financial Statements'!C12)*365</f>
        <v>93.851071222315596</v>
      </c>
      <c r="E10">
        <f>('Financial Statements'!D51/'Financial Statements'!D12)*365</f>
        <v>91.048189715674198</v>
      </c>
    </row>
    <row r="11" spans="1:10" x14ac:dyDescent="0.25">
      <c r="A11" s="18">
        <f t="shared" si="0"/>
        <v>1.7000000000000006</v>
      </c>
      <c r="B11" s="1" t="s">
        <v>106</v>
      </c>
      <c r="C11">
        <f>('Financial Statements'!B38/'Financial Statements'!B8)*365</f>
        <v>26.087825363656648</v>
      </c>
      <c r="D11">
        <f>('Financial Statements'!C38/'Financial Statements'!C8)*365</f>
        <v>26.219311841713207</v>
      </c>
      <c r="E11">
        <f>('Financial Statements'!D38/'Financial Statements'!D8)*365</f>
        <v>21.433437152796749</v>
      </c>
    </row>
    <row r="12" spans="1:10" x14ac:dyDescent="0.25">
      <c r="A12" s="18">
        <f t="shared" si="0"/>
        <v>1.8000000000000007</v>
      </c>
      <c r="B12" s="1" t="s">
        <v>107</v>
      </c>
      <c r="C12">
        <f>C9+C11-C10</f>
        <v>-70.521753872831582</v>
      </c>
      <c r="D12">
        <f t="shared" ref="D12:E12" si="1">D9+D11-D10</f>
        <v>-56.355166632892498</v>
      </c>
      <c r="E12">
        <f t="shared" si="1"/>
        <v>-60.872869206641568</v>
      </c>
    </row>
    <row r="13" spans="1:10" x14ac:dyDescent="0.25">
      <c r="A13" s="18">
        <f t="shared" si="0"/>
        <v>1.9000000000000008</v>
      </c>
      <c r="B13" s="1" t="s">
        <v>108</v>
      </c>
      <c r="C13">
        <f>('Financial Statements'!B42-'Financial Statements'!B56)/'Financial Statements'!B8*100</f>
        <v>-4.7110527276784806</v>
      </c>
      <c r="D13">
        <f>('Financial Statements'!C42-'Financial Statements'!C56)/'Financial Statements'!C8*100</f>
        <v>2.5572895737486232</v>
      </c>
      <c r="E13">
        <f>('Financial Statements'!D42-'Financial Statements'!D56)/'Financial Statements'!D8*100</f>
        <v>13.959528623208204</v>
      </c>
    </row>
    <row r="14" spans="1:10" x14ac:dyDescent="0.25">
      <c r="A14" s="18"/>
      <c r="B14" s="3" t="s">
        <v>109</v>
      </c>
      <c r="C14">
        <f>('Financial Statements'!B42-'Financial Statements'!B56)</f>
        <v>-18577</v>
      </c>
      <c r="D14">
        <f>('Financial Statements'!C42-'Financial Statements'!C56)</f>
        <v>9355</v>
      </c>
      <c r="E14">
        <f>('Financial Statements'!D42-'Financial Statements'!D56)</f>
        <v>38321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5" x14ac:dyDescent="0.25">
      <c r="A17" s="18">
        <f>+A16+0.1</f>
        <v>2.1</v>
      </c>
      <c r="B17" s="1" t="s">
        <v>9</v>
      </c>
      <c r="C17">
        <f>('Financial Statements'!B13/'Financial Statements'!B8)*100</f>
        <v>43.309630561360088</v>
      </c>
      <c r="D17">
        <f>('Financial Statements'!C13/'Financial Statements'!C8)*100</f>
        <v>41.779359625167778</v>
      </c>
      <c r="E17">
        <f>('Financial Statements'!D13/'Financial Statements'!D8)*100</f>
        <v>38.233247727810863</v>
      </c>
    </row>
    <row r="18" spans="1:5" x14ac:dyDescent="0.25">
      <c r="A18" s="18">
        <f>+A17+0.1</f>
        <v>2.2000000000000002</v>
      </c>
      <c r="B18" s="1" t="s">
        <v>111</v>
      </c>
      <c r="C18">
        <f>(C19/'Financial Statements'!B8)*100</f>
        <v>33.104674281308959</v>
      </c>
      <c r="D18">
        <f>(D19/'Financial Statements'!C8)*100</f>
        <v>32.86697993805646</v>
      </c>
      <c r="E18">
        <f>(E19/'Financial Statements'!D8)*100</f>
        <v>28.174780977360069</v>
      </c>
    </row>
    <row r="19" spans="1:5" x14ac:dyDescent="0.25">
      <c r="A19" s="18"/>
      <c r="B19" s="3" t="s">
        <v>112</v>
      </c>
      <c r="C19">
        <f>('Financial Statements'!B18+'Financial Statements'!B79)</f>
        <v>130541</v>
      </c>
      <c r="D19">
        <f>('Financial Statements'!C18+'Financial Statements'!C79)</f>
        <v>120233</v>
      </c>
      <c r="E19">
        <f>('Financial Statements'!D18+'Financial Statements'!D79)</f>
        <v>77344</v>
      </c>
    </row>
    <row r="20" spans="1:5" x14ac:dyDescent="0.25">
      <c r="A20" s="18">
        <f>+A18+0.1</f>
        <v>2.3000000000000003</v>
      </c>
      <c r="B20" s="1" t="s">
        <v>113</v>
      </c>
      <c r="C20">
        <f>(C21/'Financial Statements'!B8)*100</f>
        <v>30.288744395528592</v>
      </c>
      <c r="D20">
        <f>(D21/'Financial Statements'!C8)*100</f>
        <v>29.782377527561593</v>
      </c>
      <c r="E20">
        <f>(E21/'Financial Statements'!D8)*100</f>
        <v>24.147314354406863</v>
      </c>
    </row>
    <row r="21" spans="1:5" x14ac:dyDescent="0.25">
      <c r="A21" s="18"/>
      <c r="B21" s="3" t="s">
        <v>114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5" x14ac:dyDescent="0.25">
      <c r="A22" s="18">
        <f>+A20+0.1</f>
        <v>2.4000000000000004</v>
      </c>
      <c r="B22" s="1" t="s">
        <v>115</v>
      </c>
      <c r="C22">
        <f>('Financial Statements'!B22/'Financial Statements'!B8)*100</f>
        <v>25.309640705199733</v>
      </c>
      <c r="D22">
        <f>('Financial Statements'!C22/'Financial Statements'!C8)*100</f>
        <v>25.881793355694239</v>
      </c>
      <c r="E22">
        <f>('Financial Statements'!D22/'Financial Statements'!D8)*100</f>
        <v>20.913611278072235</v>
      </c>
    </row>
    <row r="23" spans="1:5" x14ac:dyDescent="0.25">
      <c r="A23" s="18"/>
    </row>
    <row r="24" spans="1:5" x14ac:dyDescent="0.25">
      <c r="A24" s="18">
        <f>+A16+1</f>
        <v>3</v>
      </c>
      <c r="B24" s="7" t="s">
        <v>116</v>
      </c>
    </row>
    <row r="25" spans="1:5" x14ac:dyDescent="0.25">
      <c r="A25" s="18">
        <f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</row>
    <row r="26" spans="1:5" x14ac:dyDescent="0.25">
      <c r="A26" s="18">
        <f t="shared" ref="A26:A30" si="2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5" x14ac:dyDescent="0.25">
      <c r="A27" s="18">
        <f t="shared" si="2"/>
        <v>3.3000000000000003</v>
      </c>
      <c r="B27" s="1" t="s">
        <v>119</v>
      </c>
      <c r="C27">
        <f>'Financial Statements'!B61/('Financial Statements'!B61+'Financial Statements'!B68)</f>
        <v>0.74507604151469264</v>
      </c>
      <c r="D27">
        <f>'Financial Statements'!C61/('Financial Statements'!C61+'Financial Statements'!C68)</f>
        <v>0.72024778180302496</v>
      </c>
      <c r="E27">
        <f>'Financial Statements'!D61/('Financial Statements'!D61+'Financial Statements'!D68)</f>
        <v>0.70096020064440534</v>
      </c>
    </row>
    <row r="28" spans="1:5" s="35" customFormat="1" x14ac:dyDescent="0.25">
      <c r="A28" s="33">
        <f t="shared" si="2"/>
        <v>3.4000000000000004</v>
      </c>
      <c r="B28" s="34" t="s">
        <v>120</v>
      </c>
    </row>
    <row r="29" spans="1:5" x14ac:dyDescent="0.25">
      <c r="A29" s="18">
        <f t="shared" si="2"/>
        <v>3.5000000000000004</v>
      </c>
      <c r="B29" s="38" t="s">
        <v>121</v>
      </c>
      <c r="C29">
        <f>C21/('Financial Statements'!B55+'Financial Statements'!B59)</f>
        <v>1.0849328258559139</v>
      </c>
      <c r="D29">
        <f>D21/('Financial Statements'!C55+'Financial Statements'!C59)</f>
        <v>0.91770483241941059</v>
      </c>
      <c r="E29">
        <f>E21/('Financial Statements'!D55+'Financial Statements'!D59)</f>
        <v>0.61697691734921822</v>
      </c>
    </row>
    <row r="30" spans="1:5" s="35" customFormat="1" x14ac:dyDescent="0.25">
      <c r="A30" s="33">
        <f t="shared" si="2"/>
        <v>3.6000000000000005</v>
      </c>
      <c r="B30" s="36" t="s">
        <v>122</v>
      </c>
      <c r="C30" s="35">
        <f>C31/4755</f>
        <v>23.940063091482649</v>
      </c>
      <c r="D30" s="35">
        <f t="shared" ref="D30:E30" si="3">D31/4755</f>
        <v>23.233017875920083</v>
      </c>
      <c r="E30" s="35">
        <f t="shared" si="3"/>
        <v>10.292954784437434</v>
      </c>
    </row>
    <row r="31" spans="1:5" s="35" customFormat="1" x14ac:dyDescent="0.25">
      <c r="A31" s="33"/>
      <c r="B31" s="37" t="s">
        <v>123</v>
      </c>
      <c r="C31" s="35">
        <f>'Financial Statements'!B91-'Financial Statements'!B121+'Financial Statements'!B104</f>
        <v>113835</v>
      </c>
      <c r="D31" s="35">
        <f>'Financial Statements'!C91-'Financial Statements'!C121+'Financial Statements'!C104</f>
        <v>110473</v>
      </c>
      <c r="E31" s="35">
        <f>'Financial Statements'!D91-'Financial Statements'!D121+'Financial Statements'!D104</f>
        <v>48943</v>
      </c>
    </row>
    <row r="32" spans="1:5" x14ac:dyDescent="0.25">
      <c r="A32" s="18"/>
      <c r="B32" s="39"/>
    </row>
    <row r="33" spans="1:5" x14ac:dyDescent="0.25">
      <c r="A33" s="18">
        <f>+A24+1</f>
        <v>4</v>
      </c>
      <c r="B33" s="17" t="s">
        <v>124</v>
      </c>
    </row>
    <row r="34" spans="1:5" x14ac:dyDescent="0.25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25">
      <c r="A35" s="18">
        <f t="shared" ref="A35:A37" si="4">+A34+0.1</f>
        <v>4.1999999999999993</v>
      </c>
      <c r="B35" s="1" t="s">
        <v>126</v>
      </c>
      <c r="C35">
        <f>'Financial Statements'!B8/'Financial Statements'!B47</f>
        <v>1.8142535081665516</v>
      </c>
      <c r="D35">
        <f>'Financial Statements'!C8/'Financial Statements'!C47</f>
        <v>1.6922966608994938</v>
      </c>
      <c r="E35">
        <f>'Financial Statements'!D8/'Financial Statements'!D47</f>
        <v>1.5236020535590398</v>
      </c>
    </row>
    <row r="36" spans="1:5" x14ac:dyDescent="0.25">
      <c r="A36" s="18">
        <f t="shared" si="4"/>
        <v>4.2999999999999989</v>
      </c>
      <c r="B36" s="1" t="s">
        <v>127</v>
      </c>
      <c r="C36">
        <f>'Financial Statements'!B12/'Financial Statements'!B39</f>
        <v>45.197331176708452</v>
      </c>
      <c r="D36">
        <f>'Financial Statements'!C12/'Financial Statements'!C39</f>
        <v>32.367933130699086</v>
      </c>
      <c r="E36">
        <f>'Financial Statements'!D12/'Financial Statements'!D39</f>
        <v>41.753016498399411</v>
      </c>
    </row>
    <row r="37" spans="1:5" x14ac:dyDescent="0.25">
      <c r="A37" s="18">
        <f t="shared" si="4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5" x14ac:dyDescent="0.25">
      <c r="A38" s="18"/>
    </row>
    <row r="39" spans="1:5" x14ac:dyDescent="0.25">
      <c r="A39" s="18">
        <f>+A33+1</f>
        <v>5</v>
      </c>
      <c r="B39" s="17" t="s">
        <v>129</v>
      </c>
    </row>
    <row r="40" spans="1:5" x14ac:dyDescent="0.25">
      <c r="A40" s="18">
        <f>+A39+0.1</f>
        <v>5.0999999999999996</v>
      </c>
      <c r="B40" s="1" t="s">
        <v>130</v>
      </c>
      <c r="C40">
        <f>'Financial Statements'!B117/'Financial Statements'!B25</f>
        <v>22.618657937806869</v>
      </c>
      <c r="D40">
        <f>'Financial Statements'!C117/'Financial Statements'!C25</f>
        <v>25.222816399286987</v>
      </c>
      <c r="E40">
        <f>'Financial Statements'!D117/'Financial Statements'!D25</f>
        <v>35.307926829268297</v>
      </c>
    </row>
    <row r="41" spans="1:5" x14ac:dyDescent="0.25">
      <c r="A41" s="18">
        <f t="shared" ref="A41:A44" si="5">+A40+0.1</f>
        <v>5.1999999999999993</v>
      </c>
      <c r="B41" s="3" t="s">
        <v>131</v>
      </c>
      <c r="C41">
        <v>6.11</v>
      </c>
      <c r="D41">
        <v>5.61</v>
      </c>
      <c r="E41">
        <v>3.28</v>
      </c>
    </row>
    <row r="42" spans="1:5" x14ac:dyDescent="0.25">
      <c r="A42" s="18">
        <f t="shared" si="5"/>
        <v>5.2999999999999989</v>
      </c>
      <c r="B42" s="1" t="s">
        <v>132</v>
      </c>
      <c r="C42">
        <f>'Financial Statements'!B117/'List of Ratios'!C43</f>
        <v>12.96852305020524</v>
      </c>
      <c r="D42">
        <f>'Financial Statements'!C117/'List of Ratios'!D43</f>
        <v>10.664645744174988</v>
      </c>
      <c r="E42">
        <f>'Financial Statements'!D117/'List of Ratios'!E43</f>
        <v>8.4279917048011139</v>
      </c>
    </row>
    <row r="43" spans="1:5" x14ac:dyDescent="0.25">
      <c r="A43" s="18">
        <f t="shared" si="5"/>
        <v>5.3999999999999986</v>
      </c>
      <c r="B43" s="3" t="s">
        <v>133</v>
      </c>
      <c r="C43">
        <f>'Financial Statements'!B68/4755</f>
        <v>10.656572029442692</v>
      </c>
      <c r="D43">
        <f>'Financial Statements'!C68/4755</f>
        <v>13.268138801261829</v>
      </c>
      <c r="E43">
        <f>'Financial Statements'!D68/4755</f>
        <v>13.74111461619348</v>
      </c>
    </row>
    <row r="44" spans="1:5" x14ac:dyDescent="0.25">
      <c r="A44" s="18">
        <f t="shared" si="5"/>
        <v>5.4999999999999982</v>
      </c>
      <c r="B44" s="1" t="s">
        <v>134</v>
      </c>
      <c r="C44">
        <f>-'Financial Statements'!B102/'Financial Statements'!B22</f>
        <v>0.14870294480125848</v>
      </c>
      <c r="D44">
        <f>-'Financial Statements'!C102/'Financial Statements'!C22</f>
        <v>0.15279890156316012</v>
      </c>
      <c r="E44">
        <f>-'Financial Statements'!D102/'Financial Statements'!D22</f>
        <v>0.24526658654264863</v>
      </c>
    </row>
    <row r="45" spans="1:5" x14ac:dyDescent="0.25">
      <c r="A45" s="18"/>
      <c r="B45" s="3" t="s">
        <v>135</v>
      </c>
      <c r="C45">
        <f>-'Financial Statements'!B102/4755</f>
        <v>3.1211356466876969</v>
      </c>
      <c r="D45">
        <f>-'Financial Statements'!C102/4755</f>
        <v>3.0424815983175604</v>
      </c>
      <c r="E45">
        <f>-'Financial Statements'!D102/4755</f>
        <v>2.96130389064143</v>
      </c>
    </row>
    <row r="46" spans="1:5" x14ac:dyDescent="0.25">
      <c r="A46" s="18">
        <f>+A44+0.1</f>
        <v>5.5999999999999979</v>
      </c>
      <c r="B46" s="1" t="s">
        <v>136</v>
      </c>
      <c r="C46">
        <f>C45/'Financial Statements'!B117</f>
        <v>2.2584194259679429E-2</v>
      </c>
      <c r="D46">
        <f>D45/'Financial Statements'!C117</f>
        <v>2.1501636737226576E-2</v>
      </c>
      <c r="E46">
        <f>E45/'Financial Statements'!D117</f>
        <v>2.5570364309139365E-2</v>
      </c>
    </row>
    <row r="47" spans="1:5" x14ac:dyDescent="0.25">
      <c r="A47" s="18">
        <f t="shared" ref="A47:A50" si="6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25">
      <c r="A48" s="18">
        <f t="shared" si="6"/>
        <v>5.6999999999999975</v>
      </c>
      <c r="B48" s="1" t="s">
        <v>138</v>
      </c>
      <c r="C48">
        <f>C21/('Financial Statements'!B48-'Financial Statements'!B56)</f>
        <v>0.60087134570590572</v>
      </c>
      <c r="D48">
        <f>D21/('Financial Statements'!C48-'Financial Statements'!C56)</f>
        <v>0.48309913489209433</v>
      </c>
      <c r="E48">
        <f>E21/('Financial Statements'!D48-'Financial Statements'!D56)</f>
        <v>0.30338312829525482</v>
      </c>
    </row>
    <row r="49" spans="1:5" x14ac:dyDescent="0.25">
      <c r="A49" s="18">
        <f t="shared" si="6"/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</row>
    <row r="50" spans="1:5" x14ac:dyDescent="0.25">
      <c r="A50" s="18">
        <f t="shared" si="6"/>
        <v>5.7999999999999972</v>
      </c>
      <c r="B50" s="1" t="s">
        <v>139</v>
      </c>
      <c r="C50">
        <f>C51/C19</f>
        <v>5.6859607326433839</v>
      </c>
      <c r="D50">
        <f t="shared" ref="D50:E50" si="7">D51/D19</f>
        <v>6.2846514683988586</v>
      </c>
      <c r="E50">
        <f t="shared" si="7"/>
        <v>7.9945121793545724</v>
      </c>
    </row>
    <row r="51" spans="1:5" x14ac:dyDescent="0.25">
      <c r="A51" s="18"/>
      <c r="B51" s="3" t="s">
        <v>140</v>
      </c>
      <c r="C51" s="2">
        <f>'Financial Statements'!B119+'Financial Statements'!B55+'Financial Statements'!B59-'Financial Statements'!B110</f>
        <v>742251</v>
      </c>
      <c r="D51" s="2">
        <f>'Financial Statements'!C119+'Financial Statements'!C55+'Financial Statements'!C59-'Financial Statements'!C110</f>
        <v>755622.5</v>
      </c>
      <c r="E51" s="2">
        <f>'Financial Statements'!D119+'Financial Statements'!D55+'Financial Statements'!D59-'Financial Statements'!D110</f>
        <v>618327.55000000005</v>
      </c>
    </row>
    <row r="53" spans="1:5" x14ac:dyDescent="0.25">
      <c r="A53" s="18">
        <f>A39+1</f>
        <v>6</v>
      </c>
      <c r="B53" s="7" t="s">
        <v>150</v>
      </c>
    </row>
    <row r="54" spans="1:5" x14ac:dyDescent="0.25">
      <c r="A54" s="18">
        <f>A53+0.1</f>
        <v>6.1</v>
      </c>
      <c r="B54" s="1" t="s">
        <v>145</v>
      </c>
      <c r="C54">
        <f>('Financial Statements'!B8-'Financial Statements'!C8)/'Financial Statements'!C8*100</f>
        <v>7.7937876041846055</v>
      </c>
      <c r="D54">
        <f>('Financial Statements'!C8-'Financial Statements'!D8)/'Financial Statements'!D8*100</f>
        <v>33.25938473307469</v>
      </c>
    </row>
    <row r="55" spans="1:5" x14ac:dyDescent="0.25">
      <c r="A55" s="18"/>
      <c r="B55" s="1" t="s">
        <v>154</v>
      </c>
      <c r="C55">
        <f>('Financial Statements'!B6-'Financial Statements'!C6)/'Financial Statements'!C6*100</f>
        <v>6.3239764351428418</v>
      </c>
      <c r="D55">
        <f>('Financial Statements'!C6-'Financial Statements'!D6)/'Financial Statements'!D6*100</f>
        <v>34.720743656765436</v>
      </c>
    </row>
    <row r="56" spans="1:5" x14ac:dyDescent="0.25">
      <c r="A56" s="18"/>
      <c r="B56" s="1" t="s">
        <v>5</v>
      </c>
      <c r="C56">
        <f>('Financial Statements'!B7-'Financial Statements'!C7)/'Financial Statements'!C7*100</f>
        <v>14.181951041286078</v>
      </c>
      <c r="D56">
        <f>('Financial Statements'!C7-'Financial Statements'!D7)/'Financial Statements'!D7*100</f>
        <v>27.259708376729652</v>
      </c>
    </row>
    <row r="57" spans="1:5" x14ac:dyDescent="0.25">
      <c r="A57" s="18">
        <f>A54+0.1</f>
        <v>6.1999999999999993</v>
      </c>
      <c r="B57" s="1" t="s">
        <v>89</v>
      </c>
      <c r="C57">
        <f>('Financial Statements'!B13-'Financial Statements'!C13)/'Financial Statements'!C13*100</f>
        <v>11.741997958596142</v>
      </c>
      <c r="D57">
        <f>('Financial Statements'!C13-'Financial Statements'!D13)/'Financial Statements'!D13*100</f>
        <v>45.61911658218682</v>
      </c>
    </row>
    <row r="58" spans="1:5" x14ac:dyDescent="0.25">
      <c r="A58" s="18">
        <f>A57+0.1</f>
        <v>6.2999999999999989</v>
      </c>
      <c r="B58" s="1" t="s">
        <v>90</v>
      </c>
    </row>
    <row r="59" spans="1:5" x14ac:dyDescent="0.25">
      <c r="A59" s="18"/>
      <c r="B59" s="1" t="s">
        <v>11</v>
      </c>
      <c r="C59">
        <f>('Financial Statements'!B15-'Financial Statements'!C15)/'Financial Statements'!C15*100</f>
        <v>19.791001186456146</v>
      </c>
      <c r="D59">
        <f>('Financial Statements'!C15-'Financial Statements'!D15)/'Financial Statements'!D15*100</f>
        <v>16.862201365187712</v>
      </c>
    </row>
    <row r="60" spans="1:5" x14ac:dyDescent="0.25">
      <c r="A60" s="18"/>
      <c r="B60" s="1" t="s">
        <v>12</v>
      </c>
      <c r="C60">
        <f>('Financial Statements'!B16-'Financial Statements'!C16)/'Financial Statements'!C16*100</f>
        <v>14.203795567287125</v>
      </c>
      <c r="D60">
        <f>('Financial Statements'!C16-'Financial Statements'!D16)/'Financial Statements'!D16*100</f>
        <v>10.328379192608958</v>
      </c>
    </row>
    <row r="61" spans="1:5" x14ac:dyDescent="0.25">
      <c r="A61" s="18">
        <f>A58+0.1</f>
        <v>6.3999999999999986</v>
      </c>
      <c r="B61" s="1" t="s">
        <v>91</v>
      </c>
    </row>
    <row r="62" spans="1:5" x14ac:dyDescent="0.25">
      <c r="A62" s="18"/>
      <c r="B62" s="21" t="s">
        <v>31</v>
      </c>
      <c r="C62">
        <f>('Financial Statements'!B42-'Financial Statements'!C42)/'Financial Statements'!C42*100</f>
        <v>0.42199412619775128</v>
      </c>
      <c r="D62">
        <f>('Financial Statements'!C42-'Financial Statements'!D42)/'Financial Statements'!D42*100</f>
        <v>-6.1768942266879128</v>
      </c>
    </row>
    <row r="63" spans="1:5" x14ac:dyDescent="0.25">
      <c r="A63" s="18"/>
      <c r="B63" s="21" t="s">
        <v>50</v>
      </c>
      <c r="C63">
        <f>('Financial Statements'!B47-'Financial Statements'!C47)/'Financial Statements'!C47*100</f>
        <v>0.54772720964443988</v>
      </c>
      <c r="D63">
        <f>('Financial Statements'!C47-'Financial Statements'!D47)/'Financial Statements'!D47*100</f>
        <v>19.975579297904815</v>
      </c>
    </row>
    <row r="64" spans="1:5" x14ac:dyDescent="0.25">
      <c r="A64" s="18"/>
      <c r="B64" s="21" t="s">
        <v>33</v>
      </c>
      <c r="C64">
        <f>('Financial Statements'!B48-'Financial Statements'!C48)/'Financial Statements'!C48*100</f>
        <v>0.49942735369029234</v>
      </c>
      <c r="D64">
        <f>('Financial Statements'!C48-'Financial Statements'!D48)/'Financial Statements'!D48*100</f>
        <v>8.3714123400681704</v>
      </c>
    </row>
    <row r="65" spans="1:5" x14ac:dyDescent="0.25">
      <c r="A65" s="18"/>
      <c r="B65" s="21" t="s">
        <v>40</v>
      </c>
      <c r="C65">
        <f>('Financial Statements'!B56-'Financial Statements'!C56)/'Financial Statements'!C56*100</f>
        <v>22.713398841258837</v>
      </c>
      <c r="D65">
        <f>('Financial Statements'!C56-'Financial Statements'!D56)/'Financial Statements'!D56*100</f>
        <v>19.061219067860939</v>
      </c>
    </row>
    <row r="66" spans="1:5" x14ac:dyDescent="0.25">
      <c r="A66" s="18"/>
      <c r="B66" s="29" t="s">
        <v>53</v>
      </c>
      <c r="C66">
        <f>('Financial Statements'!B61-'Financial Statements'!C61)/'Financial Statements'!C61*100</f>
        <v>-8.8222075835277742</v>
      </c>
      <c r="D66">
        <f>('Financial Statements'!C61-'Financial Statements'!D61)/'Financial Statements'!D61*100</f>
        <v>6.0552243775994565</v>
      </c>
    </row>
    <row r="67" spans="1:5" x14ac:dyDescent="0.25">
      <c r="A67" s="18"/>
      <c r="B67" s="21" t="s">
        <v>41</v>
      </c>
      <c r="C67">
        <f>('Financial Statements'!B62-'Financial Statements'!C62)/'Financial Statements'!C62*100</f>
        <v>4.9219900525160467</v>
      </c>
      <c r="D67">
        <f>('Financial Statements'!C62-'Financial Statements'!D62)/'Financial Statements'!D62*100</f>
        <v>11.356841449783213</v>
      </c>
    </row>
    <row r="68" spans="1:5" x14ac:dyDescent="0.25">
      <c r="A68" s="18"/>
      <c r="B68" s="21" t="s">
        <v>45</v>
      </c>
      <c r="C68">
        <f>('Financial Statements'!B68-'Financial Statements'!C68)/'Financial Statements'!C68*100</f>
        <v>-19.682992550324933</v>
      </c>
      <c r="D68">
        <f>('Financial Statements'!C68-'Financial Statements'!D68)/'Financial Statements'!D68*100</f>
        <v>-3.4420483937617661</v>
      </c>
    </row>
    <row r="69" spans="1:5" x14ac:dyDescent="0.25">
      <c r="A69" s="18"/>
      <c r="B69" s="21" t="s">
        <v>46</v>
      </c>
      <c r="C69">
        <f>('Financial Statements'!B69-'Financial Statements'!C69)/'Financial Statements'!C69*100</f>
        <v>0.49942735369029234</v>
      </c>
      <c r="D69">
        <f>('Financial Statements'!C69-'Financial Statements'!D69)/'Financial Statements'!D69*100</f>
        <v>8.3714123400681704</v>
      </c>
    </row>
    <row r="70" spans="1:5" x14ac:dyDescent="0.25">
      <c r="A70" s="18"/>
      <c r="B70" s="1"/>
    </row>
    <row r="71" spans="1:5" x14ac:dyDescent="0.25">
      <c r="A71" s="18"/>
    </row>
    <row r="72" spans="1:5" x14ac:dyDescent="0.25">
      <c r="A72" s="18">
        <f>A53+1</f>
        <v>7</v>
      </c>
      <c r="B72" s="11" t="s">
        <v>151</v>
      </c>
    </row>
    <row r="73" spans="1:5" x14ac:dyDescent="0.25">
      <c r="A73" s="18">
        <f>A72+0.1</f>
        <v>7.1</v>
      </c>
      <c r="B73" s="1" t="s">
        <v>146</v>
      </c>
      <c r="C73" s="32">
        <f>'Financial Statements'!B12/'Financial Statements'!B8*100</f>
        <v>56.690369438639912</v>
      </c>
      <c r="D73" s="32">
        <f>'Financial Statements'!C12/'Financial Statements'!C8*100</f>
        <v>58.220640374832222</v>
      </c>
      <c r="E73" s="32">
        <f>'Financial Statements'!D12/'Financial Statements'!D8*100</f>
        <v>61.76675227218913</v>
      </c>
    </row>
    <row r="74" spans="1:5" x14ac:dyDescent="0.25">
      <c r="A74" s="18">
        <f t="shared" ref="A74:A80" si="8">A73+0.1</f>
        <v>7.1999999999999993</v>
      </c>
      <c r="B74" s="1" t="s">
        <v>89</v>
      </c>
      <c r="C74" s="30">
        <f>'Financial Statements'!B13/'Financial Statements'!B8*100</f>
        <v>43.309630561360088</v>
      </c>
      <c r="D74" s="30">
        <f>'Financial Statements'!C13/'Financial Statements'!C8*100</f>
        <v>41.779359625167778</v>
      </c>
      <c r="E74" s="30">
        <f>'Financial Statements'!D13/'Financial Statements'!D8*100</f>
        <v>38.233247727810863</v>
      </c>
    </row>
    <row r="75" spans="1:5" x14ac:dyDescent="0.25">
      <c r="A75" s="18">
        <f t="shared" si="8"/>
        <v>7.2999999999999989</v>
      </c>
      <c r="B75" s="1" t="s">
        <v>90</v>
      </c>
    </row>
    <row r="76" spans="1:5" x14ac:dyDescent="0.25">
      <c r="A76" s="18"/>
      <c r="B76" s="1" t="s">
        <v>11</v>
      </c>
      <c r="C76" s="30">
        <f>'Financial Statements'!B15/'Financial Statements'!B8*100</f>
        <v>6.6571483637986653</v>
      </c>
      <c r="D76" s="30">
        <f>'Financial Statements'!C15/'Financial Statements'!C8*100</f>
        <v>5.9904269074427923</v>
      </c>
      <c r="E76" s="30">
        <f>'Financial Statements'!D15/'Financial Statements'!D8*100</f>
        <v>6.8309564140393064</v>
      </c>
    </row>
    <row r="77" spans="1:5" x14ac:dyDescent="0.25">
      <c r="A77" s="18"/>
      <c r="B77" s="1" t="s">
        <v>12</v>
      </c>
      <c r="C77" s="30">
        <f>'Financial Statements'!B16/'Financial Statements'!B8*100</f>
        <v>6.3637378020328264</v>
      </c>
      <c r="D77" s="30">
        <f>'Financial Statements'!C16/'Financial Statements'!C8*100</f>
        <v>6.0065551901633878</v>
      </c>
      <c r="E77" s="30">
        <f>'Financial Statements'!D16/'Financial Statements'!D8*100</f>
        <v>7.254976959364698</v>
      </c>
    </row>
    <row r="78" spans="1:5" x14ac:dyDescent="0.25">
      <c r="A78" s="18"/>
      <c r="B78" s="1"/>
    </row>
    <row r="79" spans="1:5" x14ac:dyDescent="0.25">
      <c r="A79" s="18">
        <f>A75+0.1</f>
        <v>7.3999999999999986</v>
      </c>
      <c r="B79" s="1" t="s">
        <v>14</v>
      </c>
      <c r="C79" s="30">
        <f>'Financial Statements'!B18/'Financial Statements'!B8*100</f>
        <v>30.288744395528592</v>
      </c>
      <c r="D79" s="30">
        <f>'Financial Statements'!C18/'Financial Statements'!C8*100</f>
        <v>29.782377527561593</v>
      </c>
      <c r="E79" s="30">
        <f>'Financial Statements'!D18/'Financial Statements'!D8*100</f>
        <v>24.147314354406863</v>
      </c>
    </row>
    <row r="80" spans="1:5" x14ac:dyDescent="0.25">
      <c r="A80" s="18">
        <f t="shared" si="8"/>
        <v>7.4999999999999982</v>
      </c>
      <c r="B80" s="1" t="s">
        <v>93</v>
      </c>
      <c r="C80" s="30">
        <f>'Financial Statements'!B22/'Financial Statements'!B8*100</f>
        <v>25.309640705199733</v>
      </c>
      <c r="D80" s="30">
        <f>'Financial Statements'!C22/'Financial Statements'!C8*100</f>
        <v>25.881793355694239</v>
      </c>
      <c r="E80" s="30">
        <f>'Financial Statements'!D22/'Financial Statements'!D8*100</f>
        <v>20.913611278072235</v>
      </c>
    </row>
    <row r="81" spans="1:5" x14ac:dyDescent="0.25">
      <c r="A81" s="18"/>
    </row>
    <row r="82" spans="1:5" x14ac:dyDescent="0.25">
      <c r="A82" s="18">
        <f>A72+1</f>
        <v>8</v>
      </c>
      <c r="B82" s="1" t="s">
        <v>94</v>
      </c>
    </row>
    <row r="83" spans="1:5" x14ac:dyDescent="0.25">
      <c r="A83" s="18">
        <f>A82+1</f>
        <v>9</v>
      </c>
      <c r="B83" s="1" t="s">
        <v>95</v>
      </c>
      <c r="C83" s="30">
        <f>'Financial Statements'!B121/'Financial Statements'!B8*100</f>
        <v>3.4948063541011543</v>
      </c>
      <c r="D83" s="30">
        <f>'Financial Statements'!C121/'Financial Statements'!C8*100</f>
        <v>3.815568986679132</v>
      </c>
      <c r="E83" s="30">
        <f>'Financial Statements'!D121/'Financial Statements'!D8*100</f>
        <v>17.420541682603865</v>
      </c>
    </row>
    <row r="84" spans="1:5" x14ac:dyDescent="0.25">
      <c r="A84" s="18">
        <f>A83+1</f>
        <v>10</v>
      </c>
      <c r="B84" s="1" t="s">
        <v>96</v>
      </c>
      <c r="C84" s="30">
        <f>'Financial Statements'!B121/'Financial Statements'!B47*100</f>
        <v>6.3404646882907754</v>
      </c>
      <c r="D84" s="30">
        <f>'Financial Statements'!C121/'Financial Statements'!C47*100</f>
        <v>6.4570746555887597</v>
      </c>
      <c r="E84" s="30">
        <f>'Financial Statements'!D121/'Financial Statements'!D47*100</f>
        <v>26.541973081726098</v>
      </c>
    </row>
    <row r="87" spans="1:5" x14ac:dyDescent="0.25">
      <c r="C87" s="31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Jhorlu</cp:lastModifiedBy>
  <dcterms:created xsi:type="dcterms:W3CDTF">2020-05-18T16:32:37Z</dcterms:created>
  <dcterms:modified xsi:type="dcterms:W3CDTF">2023-08-04T11:35:38Z</dcterms:modified>
</cp:coreProperties>
</file>