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bookViews>
    <workbookView xWindow="0" yWindow="0" windowWidth="12210" windowHeight="7065" activeTab="1"/>
  </bookViews>
  <sheets>
    <sheet name="Instructions" sheetId="2" r:id="rId1"/>
    <sheet name="List of Ratios" sheetId="3" r:id="rId2"/>
    <sheet name="Financial Statements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2" i="3" l="1"/>
  <c r="E82" i="3"/>
  <c r="D84" i="3"/>
  <c r="E84" i="3"/>
  <c r="D83" i="3"/>
  <c r="E83" i="3"/>
  <c r="C84" i="3"/>
  <c r="C83" i="3"/>
  <c r="C82" i="3"/>
  <c r="D80" i="3"/>
  <c r="E80" i="3"/>
  <c r="D79" i="3"/>
  <c r="E79" i="3"/>
  <c r="D77" i="3"/>
  <c r="E77" i="3"/>
  <c r="D76" i="3"/>
  <c r="E76" i="3"/>
  <c r="D74" i="3"/>
  <c r="E74" i="3"/>
  <c r="D73" i="3"/>
  <c r="E73" i="3"/>
  <c r="C80" i="3"/>
  <c r="C79" i="3"/>
  <c r="C77" i="3"/>
  <c r="C76" i="3"/>
  <c r="C74" i="3"/>
  <c r="C73" i="3"/>
  <c r="D69" i="3"/>
  <c r="D68" i="3"/>
  <c r="D67" i="3"/>
  <c r="D66" i="3"/>
  <c r="D65" i="3"/>
  <c r="D64" i="3"/>
  <c r="D63" i="3"/>
  <c r="D62" i="3"/>
  <c r="C69" i="3"/>
  <c r="C68" i="3"/>
  <c r="C67" i="3"/>
  <c r="C66" i="3"/>
  <c r="C65" i="3"/>
  <c r="C64" i="3"/>
  <c r="C63" i="3"/>
  <c r="C62" i="3"/>
  <c r="D60" i="3"/>
  <c r="D59" i="3"/>
  <c r="C60" i="3"/>
  <c r="C59" i="3"/>
  <c r="D57" i="3"/>
  <c r="C57" i="3"/>
  <c r="D56" i="3"/>
  <c r="C56" i="3"/>
  <c r="D55" i="3"/>
  <c r="C55" i="3"/>
  <c r="D54" i="3"/>
  <c r="C54" i="3"/>
  <c r="D48" i="3"/>
  <c r="E48" i="3"/>
  <c r="C48" i="3"/>
  <c r="D45" i="3"/>
  <c r="E45" i="3"/>
  <c r="C45" i="3"/>
  <c r="D43" i="3"/>
  <c r="E43" i="3"/>
  <c r="C43" i="3"/>
  <c r="D44" i="3"/>
  <c r="E44" i="3"/>
  <c r="D31" i="3"/>
  <c r="E31" i="3"/>
  <c r="C31" i="3"/>
  <c r="D121" i="1"/>
  <c r="D96" i="1"/>
  <c r="D29" i="3"/>
  <c r="E29" i="3"/>
  <c r="C29" i="3"/>
  <c r="D28" i="3"/>
  <c r="E28" i="3"/>
  <c r="C28" i="3"/>
  <c r="D27" i="3" l="1"/>
  <c r="E27" i="3"/>
  <c r="C27" i="3"/>
  <c r="D26" i="3"/>
  <c r="E26" i="3"/>
  <c r="C26" i="3"/>
  <c r="D25" i="3"/>
  <c r="E25" i="3"/>
  <c r="C25" i="3"/>
  <c r="C121" i="1" l="1"/>
  <c r="B121" i="1"/>
  <c r="D51" i="3"/>
  <c r="E51" i="3"/>
  <c r="C51" i="3"/>
  <c r="C119" i="1"/>
  <c r="D119" i="1"/>
  <c r="B119" i="1"/>
  <c r="D46" i="3"/>
  <c r="E46" i="3"/>
  <c r="C46" i="3"/>
  <c r="D40" i="3"/>
  <c r="E40" i="3"/>
  <c r="C40" i="3"/>
  <c r="D108" i="1" l="1"/>
  <c r="C108" i="1"/>
  <c r="B108" i="1"/>
  <c r="D99" i="1"/>
  <c r="C99" i="1"/>
  <c r="B99" i="1"/>
  <c r="D68" i="1" l="1"/>
  <c r="E42" i="3" s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21" i="3" l="1"/>
  <c r="C35" i="3"/>
  <c r="C11" i="3"/>
  <c r="D36" i="3"/>
  <c r="D9" i="3"/>
  <c r="D10" i="3"/>
  <c r="C62" i="1"/>
  <c r="D7" i="3"/>
  <c r="C13" i="1"/>
  <c r="D11" i="3"/>
  <c r="D21" i="3"/>
  <c r="D35" i="3"/>
  <c r="E36" i="3"/>
  <c r="E9" i="3"/>
  <c r="E12" i="3" s="1"/>
  <c r="E10" i="3"/>
  <c r="B48" i="1"/>
  <c r="C5" i="3"/>
  <c r="C13" i="3"/>
  <c r="C8" i="3"/>
  <c r="C6" i="3"/>
  <c r="C14" i="3"/>
  <c r="C42" i="3"/>
  <c r="D13" i="1"/>
  <c r="E35" i="3"/>
  <c r="E34" i="3"/>
  <c r="E21" i="3"/>
  <c r="E11" i="3"/>
  <c r="D13" i="3"/>
  <c r="D14" i="3"/>
  <c r="D5" i="3"/>
  <c r="D8" i="3"/>
  <c r="D6" i="3"/>
  <c r="D42" i="3"/>
  <c r="C10" i="3"/>
  <c r="C36" i="3"/>
  <c r="C9" i="3"/>
  <c r="C12" i="3" s="1"/>
  <c r="E8" i="3"/>
  <c r="E6" i="3"/>
  <c r="E13" i="3"/>
  <c r="E14" i="3"/>
  <c r="E5" i="3"/>
  <c r="B62" i="1"/>
  <c r="C7" i="3"/>
  <c r="B13" i="1"/>
  <c r="C48" i="1"/>
  <c r="D62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9" i="1" l="1"/>
  <c r="E20" i="3"/>
  <c r="D20" i="3"/>
  <c r="D34" i="3"/>
  <c r="C20" i="3"/>
  <c r="B18" i="1"/>
  <c r="C17" i="3"/>
  <c r="D18" i="1"/>
  <c r="E17" i="3"/>
  <c r="C18" i="1"/>
  <c r="D17" i="3"/>
  <c r="D12" i="3"/>
  <c r="C34" i="3"/>
  <c r="A24" i="3"/>
  <c r="A25" i="3" s="1"/>
  <c r="A26" i="3" s="1"/>
  <c r="A27" i="3" s="1"/>
  <c r="A28" i="3" s="1"/>
  <c r="A29" i="3" s="1"/>
  <c r="A30" i="3" s="1"/>
  <c r="C69" i="1"/>
  <c r="D20" i="1" l="1"/>
  <c r="D22" i="1" s="1"/>
  <c r="E19" i="3"/>
  <c r="B20" i="1"/>
  <c r="B22" i="1" s="1"/>
  <c r="C19" i="3"/>
  <c r="C20" i="1"/>
  <c r="C22" i="1" s="1"/>
  <c r="D19" i="3"/>
  <c r="A33" i="3"/>
  <c r="A39" i="3"/>
  <c r="A34" i="3"/>
  <c r="A35" i="3" s="1"/>
  <c r="A36" i="3" s="1"/>
  <c r="A37" i="3" s="1"/>
  <c r="B76" i="1" l="1"/>
  <c r="B91" i="1" s="1"/>
  <c r="C44" i="3"/>
  <c r="C37" i="3"/>
  <c r="C47" i="3"/>
  <c r="C49" i="3"/>
  <c r="C22" i="3"/>
  <c r="C76" i="1"/>
  <c r="C91" i="1" s="1"/>
  <c r="D49" i="3"/>
  <c r="D22" i="3"/>
  <c r="D47" i="3"/>
  <c r="D37" i="3"/>
  <c r="C18" i="3"/>
  <c r="C50" i="3"/>
  <c r="E18" i="3"/>
  <c r="E50" i="3"/>
  <c r="D18" i="3"/>
  <c r="D50" i="3"/>
  <c r="D76" i="1"/>
  <c r="D91" i="1" s="1"/>
  <c r="E47" i="3"/>
  <c r="E49" i="3"/>
  <c r="E37" i="3"/>
  <c r="E22" i="3"/>
  <c r="A40" i="3"/>
  <c r="A41" i="3" s="1"/>
  <c r="A42" i="3" s="1"/>
  <c r="A43" i="3" s="1"/>
  <c r="A44" i="3" s="1"/>
  <c r="A46" i="3" s="1"/>
  <c r="A48" i="3" s="1"/>
  <c r="A50" i="3" s="1"/>
  <c r="A53" i="3"/>
  <c r="C109" i="1" l="1"/>
  <c r="D30" i="3"/>
  <c r="D109" i="1"/>
  <c r="E30" i="3"/>
  <c r="B109" i="1"/>
  <c r="C30" i="3"/>
  <c r="A72" i="3"/>
  <c r="A54" i="3"/>
  <c r="A57" i="3" s="1"/>
  <c r="A58" i="3" s="1"/>
  <c r="A61" i="3" s="1"/>
  <c r="A82" i="3" l="1"/>
  <c r="A83" i="3" s="1"/>
  <c r="A84" i="3" s="1"/>
  <c r="A73" i="3"/>
  <c r="A74" i="3" s="1"/>
  <c r="A75" i="3" s="1"/>
  <c r="A79" i="3" s="1"/>
  <c r="A80" i="3" s="1"/>
</calcChain>
</file>

<file path=xl/sharedStrings.xml><?xml version="1.0" encoding="utf-8"?>
<sst xmlns="http://schemas.openxmlformats.org/spreadsheetml/2006/main" count="217" uniqueCount="169">
  <si>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</si>
  <si>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</si>
  <si>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</si>
  <si>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</si>
  <si>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</si>
  <si>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</si>
  <si>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</si>
  <si>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</si>
  <si>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</si>
  <si>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</si>
  <si>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</si>
  <si>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</si>
  <si>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</si>
  <si>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</si>
  <si>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</si>
  <si>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</si>
  <si>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</si>
  <si>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</si>
  <si>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</si>
  <si>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</si>
  <si>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</si>
  <si>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</si>
  <si>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</si>
  <si>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</si>
  <si>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</si>
  <si>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</si>
  <si>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</si>
  <si>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</si>
  <si>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</si>
  <si>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</si>
  <si>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</si>
  <si>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</si>
  <si>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</si>
  <si>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</si>
  <si>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</si>
  <si>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</si>
  <si>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</si>
  <si>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</si>
  <si>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</si>
  <si>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</si>
  <si>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</si>
  <si>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</si>
  <si>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</si>
  <si>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</si>
  <si>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</si>
  <si>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</si>
  <si>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</si>
  <si>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</si>
  <si>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</si>
  <si>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</si>
  <si>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</si>
  <si>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</si>
  <si>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</si>
  <si>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</si>
  <si>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</si>
  <si>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</si>
  <si>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</si>
  <si>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</si>
  <si>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</si>
  <si>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</si>
  <si>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</si>
  <si>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</si>
  <si>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</si>
  <si>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</si>
  <si>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</si>
  <si>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</si>
  <si>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</si>
  <si>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</si>
  <si>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</si>
  <si>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</si>
  <si>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</si>
  <si>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</si>
  <si>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</si>
  <si>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</si>
  <si>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</si>
  <si>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</si>
  <si>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</si>
  <si>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</si>
  <si>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</si>
  <si>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</si>
  <si>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</si>
  <si>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</si>
  <si>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</si>
  <si>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</si>
  <si>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</si>
  <si>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</si>
  <si>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</si>
  <si>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</si>
  <si>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</si>
  <si>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</si>
  <si>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</si>
  <si>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</si>
  <si>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</si>
  <si>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</si>
  <si>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</si>
  <si>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</si>
  <si>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</si>
  <si>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</si>
  <si>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</si>
  <si>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</si>
  <si>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</si>
  <si>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</si>
  <si>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</si>
  <si>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</si>
  <si>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</si>
  <si>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</si>
  <si>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</si>
  <si>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</si>
  <si>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</si>
  <si>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</si>
  <si>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</si>
  <si>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</si>
  <si>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</si>
  <si>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</si>
  <si>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</si>
  <si>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</si>
  <si>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</si>
  <si>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</si>
  <si>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</si>
  <si>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</si>
  <si>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</si>
  <si>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</si>
  <si>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</si>
  <si>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</si>
  <si>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</si>
  <si>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</si>
  <si>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</si>
  <si>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</si>
  <si>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</si>
  <si>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</si>
  <si>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</si>
  <si>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</si>
  <si>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</si>
  <si>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</si>
  <si>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</si>
  <si>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</si>
  <si>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</si>
  <si>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</si>
  <si>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</si>
  <si>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</si>
  <si>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</si>
  <si>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</si>
  <si>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</si>
  <si>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</si>
  <si>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</si>
  <si>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</si>
  <si>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</si>
  <si>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</si>
  <si>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</si>
  <si>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</si>
  <si>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</si>
  <si>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 xml:space="preserve">Margins as a % of net sales </t>
  </si>
  <si>
    <t>Market share price</t>
  </si>
  <si>
    <t>Market Capitalization</t>
  </si>
  <si>
    <t>Product</t>
  </si>
  <si>
    <t>Capex</t>
  </si>
  <si>
    <t>Term debt (under long term liabilities)/Total shareholder equity</t>
  </si>
  <si>
    <t>Net Operating Income/ (Interest + Debt repayment)</t>
  </si>
  <si>
    <t>Net Operating Income/ Interest payments (can be found at the bottom of cash flow)</t>
  </si>
  <si>
    <t>There is no opening asset value for 2020, source capex from cash flow statement(purchase of property plant and equipment)</t>
  </si>
  <si>
    <t>Link capex from cash flow statement (purchase of property plant &amp; equipment)</t>
  </si>
  <si>
    <t>Total shareholder equity/Diluted number of shares</t>
  </si>
  <si>
    <t>Link share count to diluted number of share under income statement and divide that number by 1000</t>
  </si>
  <si>
    <t>Capital = Long term debt +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</si>
  <si>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</si>
  <si>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</si>
  <si>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Don’t multiply the amount by 100, use % formatting instead</t>
  </si>
  <si>
    <t>Income tax charge in income statement/Profit before tax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</si>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</sst>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3" fontId="0" fillId="0" borderId="0" xfId="1" applyNumberFormat="1" applyFont="1"/>
    <xf numFmtId="0" fontId="2" fillId="0" borderId="0" xfId="0" applyFont="1" applyBorder="1" applyAlignment="1">
      <alignment horizontal="left"/>
    </xf>
    <xf numFmtId="9" fontId="0" fillId="0" borderId="0" xfId="3" applyFont="1"/>
    <xf numFmtId="166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0" fillId="0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167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A23" sqref="A23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70" zoomScaleNormal="100" zoomScaleSheetLayoutView="100" workbookViewId="0">
      <selection activeCell="C82" sqref="C82:E82"/>
    </sheetView>
  </sheetViews>
  <sheetFormatPr defaultRowHeight="15" x14ac:dyDescent="0.25"/>
  <cols>
    <col min="1" max="1" width="4.7109375" customWidth="1"/>
    <col min="2" max="2" width="44.85546875" customWidth="1"/>
    <col min="3" max="3" width="9.5703125" bestFit="1" customWidth="1"/>
    <col min="4" max="5" width="10.5703125" bestFit="1" customWidth="1"/>
    <col min="6" max="6" width="73.570312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37" t="s">
        <v>168</v>
      </c>
      <c r="G1" s="19"/>
      <c r="H1" s="19"/>
      <c r="I1" s="19"/>
      <c r="J1" s="19"/>
    </row>
    <row r="2" spans="1:10" x14ac:dyDescent="0.25">
      <c r="C2" s="38" t="s">
        <v>23</v>
      </c>
      <c r="D2" s="38"/>
      <c r="E2" s="38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36">
        <f>'Financial Statements'!B42/'Financial Statements'!B56</f>
        <v>0.87935602862672257</v>
      </c>
      <c r="D5" s="36">
        <f>'Financial Statements'!C42/'Financial Statements'!C56</f>
        <v>1.0745531195957954</v>
      </c>
      <c r="E5" s="36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36">
        <f>('Financial Statements'!B42-'Financial Statements'!B39)/'Financial Statements'!B56</f>
        <v>0.84723539114961488</v>
      </c>
      <c r="D6" s="36">
        <f>('Financial Statements'!C42-'Financial Statements'!C39)/'Financial Statements'!C56</f>
        <v>1.0221149018576519</v>
      </c>
      <c r="E6" s="36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36">
        <f>'Financial Statements'!B36/'Financial Statements'!B56</f>
        <v>0.15356340351469652</v>
      </c>
      <c r="D7" s="36">
        <f>'Financial Statements'!C36/'Financial Statements'!C56</f>
        <v>0.27844853005634318</v>
      </c>
      <c r="E7" s="36">
        <f>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 s="36">
        <f>'Financial Statements'!B42/('Financial Statements'!B17/365)</f>
        <v>962.56354075372474</v>
      </c>
      <c r="D8" s="36">
        <f>'Financial Statements'!C42/('Financial Statements'!C17/365)</f>
        <v>1121.4058832911796</v>
      </c>
      <c r="E8" s="36">
        <f>'Financial Statements'!D42/('Financial Statements'!D17/365)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 s="36">
        <f>('Financial Statements'!B39/'Financial Statements'!B12)*365</f>
        <v>8.0756980666171607</v>
      </c>
      <c r="D9" s="36">
        <f>('Financial Statements'!C39/'Financial Statements'!C12)*365</f>
        <v>11.27659274770989</v>
      </c>
      <c r="E9" s="36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36">
        <f>('Financial Statements'!B51/'Financial Statements'!B12)*365</f>
        <v>104.68527730310539</v>
      </c>
      <c r="D10" s="36">
        <f>('Financial Statements'!C51/'Financial Statements'!C12)*365</f>
        <v>93.851071222315596</v>
      </c>
      <c r="E10" s="36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36">
        <f>('Financial Statements'!B38/'Financial Statements'!B8)*365</f>
        <v>26.087825363656648</v>
      </c>
      <c r="D11" s="36">
        <f>('Financial Statements'!C38/'Financial Statements'!C8)*365</f>
        <v>26.219311841713207</v>
      </c>
      <c r="E11" s="36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36">
        <f>C9+C11-C10</f>
        <v>-70.521753872831582</v>
      </c>
      <c r="D12" s="36">
        <f t="shared" ref="D12:E12" si="1">D9+D11-D10</f>
        <v>-56.355166632892498</v>
      </c>
      <c r="E12" s="36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36">
        <f>('Financial Statements'!B42-'Financial Statements'!B56)/'Financial Statements'!B8*100</f>
        <v>-4.7110527276784806</v>
      </c>
      <c r="D13" s="36">
        <f>('Financial Statements'!C42-'Financial Statements'!C56)/'Financial Statements'!C8*100</f>
        <v>2.5572895737486232</v>
      </c>
      <c r="E13" s="36">
        <f>('Financial Statements'!D42-'Financial Statements'!D56)/'Financial Statements'!D8*100</f>
        <v>13.959528623208204</v>
      </c>
    </row>
    <row r="14" spans="1:10" x14ac:dyDescent="0.25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6" x14ac:dyDescent="0.25">
      <c r="A17" s="18">
        <f>+A16+0.1</f>
        <v>2.1</v>
      </c>
      <c r="B17" s="1" t="s">
        <v>9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</row>
    <row r="18" spans="1:6" x14ac:dyDescent="0.25">
      <c r="A18" s="18">
        <f>+A17+0.1</f>
        <v>2.2000000000000002</v>
      </c>
      <c r="B18" s="1" t="s">
        <v>111</v>
      </c>
      <c r="C18">
        <f>(C19/'Financial Statements'!B8)*100</f>
        <v>33.104674281308959</v>
      </c>
      <c r="D18">
        <f>(D19/'Financial Statements'!C8)*100</f>
        <v>32.86697993805646</v>
      </c>
      <c r="E18">
        <f>(E19/'Financial Statements'!D8)*100</f>
        <v>28.174780977360069</v>
      </c>
    </row>
    <row r="19" spans="1:6" x14ac:dyDescent="0.25">
      <c r="A19" s="18"/>
      <c r="B19" s="3" t="s">
        <v>112</v>
      </c>
      <c r="C19">
        <f>('Financial Statements'!B18+'Financial Statements'!B79)</f>
        <v>130541</v>
      </c>
      <c r="D19">
        <f>('Financial Statements'!C18+'Financial Statements'!C79)</f>
        <v>120233</v>
      </c>
      <c r="E19">
        <f>('Financial Statements'!D18+'Financial Statements'!D79)</f>
        <v>77344</v>
      </c>
    </row>
    <row r="20" spans="1:6" x14ac:dyDescent="0.25">
      <c r="A20" s="18">
        <f>+A18+0.1</f>
        <v>2.3000000000000003</v>
      </c>
      <c r="B20" s="1" t="s">
        <v>113</v>
      </c>
      <c r="C20">
        <f>(C21/'Financial Statements'!B8)*100</f>
        <v>30.288744395528592</v>
      </c>
      <c r="D20">
        <f>(D21/'Financial Statements'!C8)*100</f>
        <v>29.782377527561593</v>
      </c>
      <c r="E20">
        <f>(E21/'Financial Statements'!D8)*100</f>
        <v>24.147314354406863</v>
      </c>
    </row>
    <row r="21" spans="1:6" x14ac:dyDescent="0.25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25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</row>
    <row r="25" spans="1:6" x14ac:dyDescent="0.25">
      <c r="A25" s="18">
        <f>+A24+0.1</f>
        <v>3.1</v>
      </c>
      <c r="B25" s="1" t="s">
        <v>117</v>
      </c>
      <c r="C25">
        <f>'Financial Statements'!B59/'Financial Statements'!B68</f>
        <v>1.9529325860435744</v>
      </c>
      <c r="D25">
        <f>'Financial Statements'!C59/'Financial Statements'!C68</f>
        <v>1.729370740212395</v>
      </c>
      <c r="E25">
        <f>'Financial Statements'!D59/'Financial Statements'!D68</f>
        <v>1.5100782075024104</v>
      </c>
      <c r="F25" t="s">
        <v>156</v>
      </c>
    </row>
    <row r="26" spans="1:6" x14ac:dyDescent="0.25">
      <c r="A26" s="18">
        <f t="shared" ref="A26:A30" si="2">+A25+0.1</f>
        <v>3.2</v>
      </c>
      <c r="B26" s="1" t="s">
        <v>118</v>
      </c>
      <c r="C26">
        <f>'Financial Statements'!B59/'Financial Statements'!B48</f>
        <v>0.28053181386514719</v>
      </c>
      <c r="D26">
        <f>'Financial Statements'!C59/'Financial Statements'!C48</f>
        <v>0.31084153366647482</v>
      </c>
      <c r="E26">
        <f>'Financial Statements'!D59/'Financial Statements'!D48</f>
        <v>0.30463308304105124</v>
      </c>
      <c r="F26" t="s">
        <v>164</v>
      </c>
    </row>
    <row r="27" spans="1:6" x14ac:dyDescent="0.25">
      <c r="A27" s="18">
        <f t="shared" si="2"/>
        <v>3.3000000000000003</v>
      </c>
      <c r="B27" s="1" t="s">
        <v>119</v>
      </c>
      <c r="C27">
        <f>'Financial Statements'!B59/('Financial Statements'!B61+'Financial Statements'!B68)</f>
        <v>0.49784930548917611</v>
      </c>
      <c r="D27">
        <f>'Financial Statements'!C59/('Financial Statements'!C61+'Financial Statements'!C68)</f>
        <v>0.4837953006593621</v>
      </c>
      <c r="E27">
        <f>'Financial Statements'!D59/('Financial Statements'!D61+'Financial Statements'!D68)</f>
        <v>0.45157348418277682</v>
      </c>
      <c r="F27" t="s">
        <v>165</v>
      </c>
    </row>
    <row r="28" spans="1:6" s="31" customFormat="1" x14ac:dyDescent="0.25">
      <c r="A28" s="29">
        <f t="shared" si="2"/>
        <v>3.4000000000000004</v>
      </c>
      <c r="B28" s="30" t="s">
        <v>120</v>
      </c>
      <c r="C28" s="31">
        <f>'Financial Statements'!B18/'Financial Statements'!B114</f>
        <v>41.68830715532286</v>
      </c>
      <c r="D28" s="31">
        <f>'Financial Statements'!C18/'Financial Statements'!C114</f>
        <v>40.546706363974693</v>
      </c>
      <c r="E28" s="31">
        <f>'Financial Statements'!D18/'Financial Statements'!D114</f>
        <v>22.081279147235175</v>
      </c>
      <c r="F28" t="s">
        <v>158</v>
      </c>
    </row>
    <row r="29" spans="1:6" x14ac:dyDescent="0.25">
      <c r="A29" s="18">
        <f t="shared" si="2"/>
        <v>3.5000000000000004</v>
      </c>
      <c r="B29" s="34" t="s">
        <v>121</v>
      </c>
      <c r="C29">
        <f>'Financial Statements'!B18/('Financial Statements'!B114+-'Financial Statements'!B105)</f>
        <v>9.6258059316569948</v>
      </c>
      <c r="D29">
        <f>'Financial Statements'!C18/('Financial Statements'!C114+-'Financial Statements'!C105)</f>
        <v>9.5260120661012504</v>
      </c>
      <c r="E29">
        <f>'Financial Statements'!D18/('Financial Statements'!D114+-'Financial Statements'!D105)</f>
        <v>4.2408035314439259</v>
      </c>
      <c r="F29" t="s">
        <v>157</v>
      </c>
    </row>
    <row r="30" spans="1:6" s="31" customFormat="1" x14ac:dyDescent="0.25">
      <c r="A30" s="29">
        <f t="shared" si="2"/>
        <v>3.6000000000000005</v>
      </c>
      <c r="B30" s="32" t="s">
        <v>122</v>
      </c>
      <c r="C30" s="31">
        <f>C31/4755</f>
        <v>24.586330178759201</v>
      </c>
      <c r="D30" s="31">
        <f t="shared" ref="D30:E30" si="3">D31/4755</f>
        <v>23.837223974763408</v>
      </c>
      <c r="E30" s="31">
        <f t="shared" si="3"/>
        <v>18.813038906414302</v>
      </c>
    </row>
    <row r="31" spans="1:6" s="31" customFormat="1" x14ac:dyDescent="0.25">
      <c r="A31" s="29"/>
      <c r="B31" s="33" t="s">
        <v>123</v>
      </c>
      <c r="C31" s="31">
        <f>'Financial Statements'!B91--'Financial Statements'!B96+'Financial Statements'!B104</f>
        <v>116908</v>
      </c>
      <c r="D31" s="31">
        <f>'Financial Statements'!C91--'Financial Statements'!C96+'Financial Statements'!C104</f>
        <v>113346</v>
      </c>
      <c r="E31" s="31">
        <f>'Financial Statements'!D91--'Financial Statements'!D96+'Financial Statements'!D104</f>
        <v>89456</v>
      </c>
      <c r="F31" s="31" t="s">
        <v>160</v>
      </c>
    </row>
    <row r="32" spans="1:6" x14ac:dyDescent="0.25">
      <c r="A32" s="18"/>
      <c r="B32" s="35"/>
    </row>
    <row r="33" spans="1:6" x14ac:dyDescent="0.25">
      <c r="A33" s="18">
        <f>+A24+1</f>
        <v>4</v>
      </c>
      <c r="B33" s="17" t="s">
        <v>124</v>
      </c>
    </row>
    <row r="34" spans="1:6" x14ac:dyDescent="0.2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6" x14ac:dyDescent="0.25">
      <c r="A35" s="18">
        <f t="shared" ref="A35:A37" si="4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6" x14ac:dyDescent="0.25">
      <c r="A36" s="18">
        <f t="shared" si="4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6" x14ac:dyDescent="0.25">
      <c r="A37" s="18">
        <f t="shared" si="4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6" x14ac:dyDescent="0.25">
      <c r="A38" s="18"/>
    </row>
    <row r="39" spans="1:6" x14ac:dyDescent="0.25">
      <c r="A39" s="18">
        <f>+A33+1</f>
        <v>5</v>
      </c>
      <c r="B39" s="17" t="s">
        <v>129</v>
      </c>
    </row>
    <row r="40" spans="1:6" x14ac:dyDescent="0.25">
      <c r="A40" s="18">
        <f>+A39+0.1</f>
        <v>5.0999999999999996</v>
      </c>
      <c r="B40" s="1" t="s">
        <v>130</v>
      </c>
      <c r="C40">
        <f>'Financial Statements'!B117/'Financial Statements'!B25</f>
        <v>22.618657937806869</v>
      </c>
      <c r="D40">
        <f>'Financial Statements'!C117/'Financial Statements'!C25</f>
        <v>25.222816399286987</v>
      </c>
      <c r="E40">
        <f>'Financial Statements'!D117/'Financial Statements'!D25</f>
        <v>35.307926829268297</v>
      </c>
    </row>
    <row r="41" spans="1:6" x14ac:dyDescent="0.25">
      <c r="A41" s="18">
        <f t="shared" ref="A41:A44" si="5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6" x14ac:dyDescent="0.25">
      <c r="A42" s="18">
        <f t="shared" si="5"/>
        <v>5.2999999999999989</v>
      </c>
      <c r="B42" s="1" t="s">
        <v>132</v>
      </c>
      <c r="C42">
        <f>'Financial Statements'!B117/'List of Ratios'!C43</f>
        <v>44.526132495263646</v>
      </c>
      <c r="D42">
        <f>'Financial Statements'!C117/'List of Ratios'!D43</f>
        <v>37.82510760025361</v>
      </c>
      <c r="E42">
        <f>'Financial Statements'!D117/'List of Ratios'!E43</f>
        <v>31.067853247524447</v>
      </c>
    </row>
    <row r="43" spans="1:6" x14ac:dyDescent="0.25">
      <c r="A43" s="18">
        <f t="shared" si="5"/>
        <v>5.3999999999999986</v>
      </c>
      <c r="B43" s="3" t="s">
        <v>133</v>
      </c>
      <c r="C43">
        <f>'Financial Statements'!B68/('Financial Statements'!B28/1000)</f>
        <v>3.1037952827971451</v>
      </c>
      <c r="D43">
        <f>'Financial Statements'!C68/('Financial Statements'!C28/1000)</f>
        <v>3.740901453484597</v>
      </c>
      <c r="E43">
        <f>'Financial Statements'!D68/('Financial Statements'!D28/1000)</f>
        <v>3.7276473233382479</v>
      </c>
      <c r="F43" t="s">
        <v>161</v>
      </c>
    </row>
    <row r="44" spans="1:6" x14ac:dyDescent="0.25">
      <c r="A44" s="18">
        <f t="shared" si="5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6" x14ac:dyDescent="0.25">
      <c r="A45" s="18"/>
      <c r="B45" s="3" t="s">
        <v>135</v>
      </c>
      <c r="C45">
        <f>-'Financial Statements'!B102/('Financial Statements'!B28/1000)</f>
        <v>0.90905087211857494</v>
      </c>
      <c r="D45">
        <f>-'Financial Statements'!C102/('Financial Statements'!C28/1000)</f>
        <v>0.85781615672153533</v>
      </c>
      <c r="E45">
        <f>-'Financial Statements'!D102/('Financial Statements'!D28/1000)</f>
        <v>0.80333341434558025</v>
      </c>
      <c r="F45" t="s">
        <v>162</v>
      </c>
    </row>
    <row r="46" spans="1:6" x14ac:dyDescent="0.25">
      <c r="A46" s="18">
        <f>+A44+0.1</f>
        <v>5.5999999999999979</v>
      </c>
      <c r="B46" s="1" t="s">
        <v>136</v>
      </c>
      <c r="C46">
        <f>C45/'Financial Statements'!B117</f>
        <v>6.5777921282096597E-3</v>
      </c>
      <c r="D46">
        <f>D45/'Financial Statements'!C117</f>
        <v>6.0623049944984828E-3</v>
      </c>
      <c r="E46">
        <f>E45/'Financial Statements'!D117</f>
        <v>6.9366498087002869E-3</v>
      </c>
    </row>
    <row r="47" spans="1:6" x14ac:dyDescent="0.25">
      <c r="A47" s="18">
        <f t="shared" ref="A47:A50" si="6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6" x14ac:dyDescent="0.25">
      <c r="A48" s="18">
        <f t="shared" si="6"/>
        <v>5.6999999999999975</v>
      </c>
      <c r="B48" s="1" t="s">
        <v>138</v>
      </c>
      <c r="C48">
        <f>C21/('Financial Statements'!B59+'Financial Statements'!B68)</f>
        <v>0.79821026391589978</v>
      </c>
      <c r="D48">
        <f>D21/('Financial Statements'!C59+'Financial Statements'!C68)</f>
        <v>0.63270343097400639</v>
      </c>
      <c r="E48">
        <f>E21/('Financial Statements'!D59+'Financial Statements'!D68)</f>
        <v>0.40418033486579757</v>
      </c>
      <c r="F48" t="s">
        <v>163</v>
      </c>
    </row>
    <row r="49" spans="1:6" x14ac:dyDescent="0.25">
      <c r="A49" s="18">
        <f t="shared" si="6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6" x14ac:dyDescent="0.25">
      <c r="A50" s="18">
        <f t="shared" si="6"/>
        <v>5.7999999999999972</v>
      </c>
      <c r="B50" s="1" t="s">
        <v>139</v>
      </c>
      <c r="C50">
        <f>C51/C19</f>
        <v>5.6859607326433839</v>
      </c>
      <c r="D50">
        <f t="shared" ref="D50:E50" si="7">D51/D19</f>
        <v>6.2846514683988586</v>
      </c>
      <c r="E50">
        <f t="shared" si="7"/>
        <v>7.9945121793545724</v>
      </c>
    </row>
    <row r="51" spans="1:6" x14ac:dyDescent="0.25">
      <c r="A51" s="18"/>
      <c r="B51" s="3" t="s">
        <v>140</v>
      </c>
      <c r="C51" s="2">
        <f>'Financial Statements'!B119+'Financial Statements'!B55+'Financial Statements'!B59-'Financial Statements'!B110</f>
        <v>742251</v>
      </c>
      <c r="D51" s="2">
        <f>'Financial Statements'!C119+'Financial Statements'!C55+'Financial Statements'!C59-'Financial Statements'!C110</f>
        <v>755622.5</v>
      </c>
      <c r="E51" s="2">
        <f>'Financial Statements'!D119+'Financial Statements'!D55+'Financial Statements'!D59-'Financial Statements'!D110</f>
        <v>618327.55000000005</v>
      </c>
    </row>
    <row r="53" spans="1:6" x14ac:dyDescent="0.25">
      <c r="A53" s="18">
        <f>A39+1</f>
        <v>6</v>
      </c>
      <c r="B53" s="7" t="s">
        <v>150</v>
      </c>
    </row>
    <row r="54" spans="1:6" x14ac:dyDescent="0.25">
      <c r="A54" s="18">
        <f>A53+0.1</f>
        <v>6.1</v>
      </c>
      <c r="B54" s="1" t="s">
        <v>145</v>
      </c>
      <c r="C54" s="28">
        <f>('Financial Statements'!B8-'Financial Statements'!C8)/'Financial Statements'!C8</f>
        <v>7.7937876041846058E-2</v>
      </c>
      <c r="D54" s="28">
        <f>('Financial Statements'!C8-'Financial Statements'!D8)/'Financial Statements'!D8</f>
        <v>0.33259384733074693</v>
      </c>
      <c r="F54" t="s">
        <v>166</v>
      </c>
    </row>
    <row r="55" spans="1:6" x14ac:dyDescent="0.25">
      <c r="A55" s="18"/>
      <c r="B55" s="1" t="s">
        <v>154</v>
      </c>
      <c r="C55" s="28">
        <f>('Financial Statements'!B6-'Financial Statements'!C6)/'Financial Statements'!C6</f>
        <v>6.3239764351428418E-2</v>
      </c>
      <c r="D55" s="28">
        <f>('Financial Statements'!C6-'Financial Statements'!D6)/'Financial Statements'!D6</f>
        <v>0.34720743656765435</v>
      </c>
    </row>
    <row r="56" spans="1:6" x14ac:dyDescent="0.25">
      <c r="A56" s="18"/>
      <c r="B56" s="1" t="s">
        <v>5</v>
      </c>
      <c r="C56" s="28">
        <f>('Financial Statements'!B7-'Financial Statements'!C7)/'Financial Statements'!C7</f>
        <v>0.14181951041286078</v>
      </c>
      <c r="D56" s="28">
        <f>('Financial Statements'!C7-'Financial Statements'!D7)/'Financial Statements'!D7</f>
        <v>0.27259708376729652</v>
      </c>
    </row>
    <row r="57" spans="1:6" x14ac:dyDescent="0.25">
      <c r="A57" s="18">
        <f>A54+0.1</f>
        <v>6.1999999999999993</v>
      </c>
      <c r="B57" s="1" t="s">
        <v>89</v>
      </c>
      <c r="C57" s="28">
        <f>('Financial Statements'!B13-'Financial Statements'!C13)/'Financial Statements'!C13</f>
        <v>0.11741997958596143</v>
      </c>
      <c r="D57" s="28">
        <f>('Financial Statements'!C13-'Financial Statements'!D13)/'Financial Statements'!D13</f>
        <v>0.45619116582186819</v>
      </c>
    </row>
    <row r="58" spans="1:6" x14ac:dyDescent="0.25">
      <c r="A58" s="18">
        <f>A57+0.1</f>
        <v>6.2999999999999989</v>
      </c>
      <c r="B58" s="1" t="s">
        <v>90</v>
      </c>
    </row>
    <row r="59" spans="1:6" x14ac:dyDescent="0.25">
      <c r="A59" s="18"/>
      <c r="B59" s="1" t="s">
        <v>11</v>
      </c>
      <c r="C59" s="28">
        <f>('Financial Statements'!B15-'Financial Statements'!C15)/'Financial Statements'!C15</f>
        <v>0.19791001186456147</v>
      </c>
      <c r="D59" s="28">
        <f>('Financial Statements'!C15-'Financial Statements'!D15)/'Financial Statements'!D15</f>
        <v>0.16862201365187712</v>
      </c>
    </row>
    <row r="60" spans="1:6" x14ac:dyDescent="0.25">
      <c r="A60" s="18"/>
      <c r="B60" s="1" t="s">
        <v>12</v>
      </c>
      <c r="C60" s="28">
        <f>('Financial Statements'!B16-'Financial Statements'!C16)/'Financial Statements'!C16</f>
        <v>0.14203795567287125</v>
      </c>
      <c r="D60" s="28">
        <f>('Financial Statements'!C16-'Financial Statements'!D16)/'Financial Statements'!D16</f>
        <v>0.10328379192608958</v>
      </c>
    </row>
    <row r="61" spans="1:6" x14ac:dyDescent="0.25">
      <c r="A61" s="18">
        <f>A58+0.1</f>
        <v>6.3999999999999986</v>
      </c>
      <c r="B61" s="1" t="s">
        <v>91</v>
      </c>
    </row>
    <row r="62" spans="1:6" x14ac:dyDescent="0.25">
      <c r="A62" s="18"/>
      <c r="B62" s="21" t="s">
        <v>31</v>
      </c>
      <c r="C62" s="28">
        <f>('Financial Statements'!B42-'Financial Statements'!C42)/'Financial Statements'!C42</f>
        <v>4.2199412619775131E-3</v>
      </c>
      <c r="D62" s="28">
        <f>('Financial Statements'!C42-'Financial Statements'!D42)/'Financial Statements'!D42</f>
        <v>-6.176894226687913E-2</v>
      </c>
    </row>
    <row r="63" spans="1:6" x14ac:dyDescent="0.25">
      <c r="A63" s="18"/>
      <c r="B63" s="21" t="s">
        <v>50</v>
      </c>
      <c r="C63" s="28">
        <f>('Financial Statements'!B47-'Financial Statements'!C47)/'Financial Statements'!C47</f>
        <v>5.4772720964443994E-3</v>
      </c>
      <c r="D63" s="28">
        <f>('Financial Statements'!C47-'Financial Statements'!D47)/'Financial Statements'!D47</f>
        <v>0.19975579297904814</v>
      </c>
    </row>
    <row r="64" spans="1:6" x14ac:dyDescent="0.25">
      <c r="A64" s="18"/>
      <c r="B64" s="21" t="s">
        <v>33</v>
      </c>
      <c r="C64" s="28">
        <f>('Financial Statements'!B48-'Financial Statements'!C48)/'Financial Statements'!C48</f>
        <v>4.9942735369029236E-3</v>
      </c>
      <c r="D64" s="28">
        <f>('Financial Statements'!C48-'Financial Statements'!D48)/'Financial Statements'!D48</f>
        <v>8.3714123400681711E-2</v>
      </c>
    </row>
    <row r="65" spans="1:5" x14ac:dyDescent="0.25">
      <c r="A65" s="18"/>
      <c r="B65" s="21" t="s">
        <v>40</v>
      </c>
      <c r="C65" s="28">
        <f>('Financial Statements'!B56-'Financial Statements'!C56)/'Financial Statements'!C56</f>
        <v>0.22713398841258836</v>
      </c>
      <c r="D65" s="28">
        <f>('Financial Statements'!C56-'Financial Statements'!D56)/'Financial Statements'!D56</f>
        <v>0.19061219067860938</v>
      </c>
    </row>
    <row r="66" spans="1:5" x14ac:dyDescent="0.25">
      <c r="A66" s="18"/>
      <c r="B66" s="27" t="s">
        <v>53</v>
      </c>
      <c r="C66" s="28">
        <f>('Financial Statements'!B61-'Financial Statements'!C61)/'Financial Statements'!C61</f>
        <v>-8.8222075835277747E-2</v>
      </c>
      <c r="D66" s="28">
        <f>('Financial Statements'!C61-'Financial Statements'!D61)/'Financial Statements'!D61</f>
        <v>6.0552243775994566E-2</v>
      </c>
    </row>
    <row r="67" spans="1:5" x14ac:dyDescent="0.25">
      <c r="A67" s="18"/>
      <c r="B67" s="21" t="s">
        <v>41</v>
      </c>
      <c r="C67" s="28">
        <f>('Financial Statements'!B62-'Financial Statements'!C62)/'Financial Statements'!C62</f>
        <v>4.9219900525160468E-2</v>
      </c>
      <c r="D67" s="28">
        <f>('Financial Statements'!C62-'Financial Statements'!D62)/'Financial Statements'!D62</f>
        <v>0.11356841449783213</v>
      </c>
    </row>
    <row r="68" spans="1:5" x14ac:dyDescent="0.25">
      <c r="A68" s="18"/>
      <c r="B68" s="21" t="s">
        <v>45</v>
      </c>
      <c r="C68" s="28">
        <f>('Financial Statements'!B68-'Financial Statements'!C68)/'Financial Statements'!C68</f>
        <v>-0.19682992550324932</v>
      </c>
      <c r="D68" s="28">
        <f>('Financial Statements'!C68-'Financial Statements'!D68)/'Financial Statements'!D68</f>
        <v>-3.4420483937617659E-2</v>
      </c>
    </row>
    <row r="69" spans="1:5" x14ac:dyDescent="0.25">
      <c r="A69" s="18"/>
      <c r="B69" s="21" t="s">
        <v>46</v>
      </c>
      <c r="C69" s="28">
        <f>('Financial Statements'!B69-'Financial Statements'!C69)/'Financial Statements'!C69</f>
        <v>4.9942735369029236E-3</v>
      </c>
      <c r="D69" s="28">
        <f>('Financial Statements'!C69-'Financial Statements'!D69)/'Financial Statements'!D69</f>
        <v>8.3714123400681711E-2</v>
      </c>
    </row>
    <row r="70" spans="1:5" x14ac:dyDescent="0.25">
      <c r="A70" s="18"/>
      <c r="B70" s="1"/>
    </row>
    <row r="71" spans="1:5" x14ac:dyDescent="0.25">
      <c r="A71" s="18"/>
    </row>
    <row r="72" spans="1:5" x14ac:dyDescent="0.25">
      <c r="A72" s="18">
        <f>A53+1</f>
        <v>7</v>
      </c>
      <c r="B72" s="11" t="s">
        <v>151</v>
      </c>
    </row>
    <row r="73" spans="1:5" x14ac:dyDescent="0.25">
      <c r="A73" s="18">
        <f>A72+0.1</f>
        <v>7.1</v>
      </c>
      <c r="B73" s="1" t="s">
        <v>146</v>
      </c>
      <c r="C73" s="28">
        <f>'Financial Statements'!B12/'Financial Statements'!B8</f>
        <v>0.56690369438639909</v>
      </c>
      <c r="D73" s="28">
        <f>'Financial Statements'!C12/'Financial Statements'!C8</f>
        <v>0.58220640374832222</v>
      </c>
      <c r="E73" s="28">
        <f>'Financial Statements'!D12/'Financial Statements'!D8</f>
        <v>0.61766752272189129</v>
      </c>
    </row>
    <row r="74" spans="1:5" x14ac:dyDescent="0.25">
      <c r="A74" s="18">
        <f t="shared" ref="A74:A80" si="8">A73+0.1</f>
        <v>7.1999999999999993</v>
      </c>
      <c r="B74" s="1" t="s">
        <v>89</v>
      </c>
      <c r="C74" s="28">
        <f>'Financial Statements'!B13/'Financial Statements'!B8</f>
        <v>0.43309630561360085</v>
      </c>
      <c r="D74" s="28">
        <f>'Financial Statements'!C13/'Financial Statements'!C8</f>
        <v>0.41779359625167778</v>
      </c>
      <c r="E74" s="28">
        <f>'Financial Statements'!D13/'Financial Statements'!D8</f>
        <v>0.38233247727810865</v>
      </c>
    </row>
    <row r="75" spans="1:5" x14ac:dyDescent="0.25">
      <c r="A75" s="18">
        <f t="shared" si="8"/>
        <v>7.2999999999999989</v>
      </c>
      <c r="B75" s="1" t="s">
        <v>90</v>
      </c>
      <c r="C75" s="28"/>
    </row>
    <row r="76" spans="1:5" x14ac:dyDescent="0.25">
      <c r="A76" s="18"/>
      <c r="B76" s="1" t="s">
        <v>11</v>
      </c>
      <c r="C76" s="28">
        <f>'Financial Statements'!B15/'Financial Statements'!B8</f>
        <v>6.657148363798665E-2</v>
      </c>
      <c r="D76" s="28">
        <f>'Financial Statements'!C15/'Financial Statements'!C8</f>
        <v>5.9904269074427925E-2</v>
      </c>
      <c r="E76" s="28">
        <f>'Financial Statements'!D15/'Financial Statements'!D8</f>
        <v>6.8309564140393061E-2</v>
      </c>
    </row>
    <row r="77" spans="1:5" x14ac:dyDescent="0.25">
      <c r="A77" s="18"/>
      <c r="B77" s="1" t="s">
        <v>12</v>
      </c>
      <c r="C77" s="28">
        <f>'Financial Statements'!B16/'Financial Statements'!B8</f>
        <v>6.3637378020328261E-2</v>
      </c>
      <c r="D77" s="28">
        <f>'Financial Statements'!C16/'Financial Statements'!C8</f>
        <v>6.006555190163388E-2</v>
      </c>
      <c r="E77" s="28">
        <f>'Financial Statements'!D16/'Financial Statements'!D8</f>
        <v>7.2549769593646979E-2</v>
      </c>
    </row>
    <row r="78" spans="1:5" x14ac:dyDescent="0.25">
      <c r="A78" s="18"/>
      <c r="B78" s="1"/>
      <c r="C78" s="28"/>
    </row>
    <row r="79" spans="1:5" x14ac:dyDescent="0.25">
      <c r="A79" s="18">
        <f>A75+0.1</f>
        <v>7.3999999999999986</v>
      </c>
      <c r="B79" s="1" t="s">
        <v>14</v>
      </c>
      <c r="C79" s="28">
        <f>'Financial Statements'!B18/'Financial Statements'!B8</f>
        <v>0.30288744395528594</v>
      </c>
      <c r="D79" s="28">
        <f>'Financial Statements'!C18/'Financial Statements'!C8</f>
        <v>0.29782377527561593</v>
      </c>
      <c r="E79" s="28">
        <f>'Financial Statements'!D18/'Financial Statements'!D8</f>
        <v>0.24147314354406862</v>
      </c>
    </row>
    <row r="80" spans="1:5" x14ac:dyDescent="0.25">
      <c r="A80" s="18">
        <f t="shared" si="8"/>
        <v>7.4999999999999982</v>
      </c>
      <c r="B80" s="1" t="s">
        <v>93</v>
      </c>
      <c r="C80" s="28">
        <f>'Financial Statements'!B22/'Financial Statements'!B8</f>
        <v>0.25309640705199732</v>
      </c>
      <c r="D80" s="28">
        <f>'Financial Statements'!C22/'Financial Statements'!C8</f>
        <v>0.25881793355694238</v>
      </c>
      <c r="E80" s="28">
        <f>'Financial Statements'!D22/'Financial Statements'!D8</f>
        <v>0.20913611278072236</v>
      </c>
    </row>
    <row r="81" spans="1:6" x14ac:dyDescent="0.25">
      <c r="A81" s="18"/>
    </row>
    <row r="82" spans="1:6" x14ac:dyDescent="0.25">
      <c r="A82" s="18">
        <f>A72+1</f>
        <v>8</v>
      </c>
      <c r="B82" s="1" t="s">
        <v>94</v>
      </c>
      <c r="C82" s="28">
        <f>'Financial Statements'!B21/'Financial Statements'!B20</f>
        <v>0.16204461684424407</v>
      </c>
      <c r="D82" s="28">
        <f>'Financial Statements'!C21/'Financial Statements'!C20</f>
        <v>0.13302260844085087</v>
      </c>
      <c r="E82" s="28">
        <f>'Financial Statements'!D21/'Financial Statements'!D20</f>
        <v>0.14428164731484103</v>
      </c>
      <c r="F82" t="s">
        <v>167</v>
      </c>
    </row>
    <row r="83" spans="1:6" x14ac:dyDescent="0.25">
      <c r="A83" s="18">
        <f>A82+1</f>
        <v>9</v>
      </c>
      <c r="B83" s="1" t="s">
        <v>95</v>
      </c>
      <c r="C83" s="28">
        <f>'Financial Statements'!B121/'Financial Statements'!B8</f>
        <v>3.4948063541011543E-2</v>
      </c>
      <c r="D83" s="28">
        <f>'Financial Statements'!C121/'Financial Statements'!C8</f>
        <v>3.8155689866791319E-2</v>
      </c>
      <c r="E83" s="28">
        <f>'Financial Statements'!D121/'Financial Statements'!D8</f>
        <v>2.6625138881299748E-2</v>
      </c>
    </row>
    <row r="84" spans="1:6" x14ac:dyDescent="0.25">
      <c r="A84" s="18">
        <f>A83+1</f>
        <v>10</v>
      </c>
      <c r="B84" s="1" t="s">
        <v>96</v>
      </c>
      <c r="C84" s="28">
        <f>'Financial Statements'!B121/'Financial Statements'!B47</f>
        <v>6.3404646882907756E-2</v>
      </c>
      <c r="D84" s="28">
        <f>'Financial Statements'!C121/'Financial Statements'!C47</f>
        <v>6.4570746555887598E-2</v>
      </c>
      <c r="E84" s="28">
        <f>'Financial Statements'!D121/'Financial Statements'!D47</f>
        <v>4.0566116275842931E-2</v>
      </c>
    </row>
    <row r="87" spans="1:6" x14ac:dyDescent="0.25">
      <c r="C87" s="2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28" workbookViewId="0">
      <selection activeCell="D121" sqref="D12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5" max="5" width="25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9" t="s">
        <v>1</v>
      </c>
      <c r="B2" s="39"/>
      <c r="C2" s="39"/>
      <c r="D2" s="39"/>
    </row>
    <row r="3" spans="1:10" x14ac:dyDescent="0.25">
      <c r="B3" s="38" t="s">
        <v>23</v>
      </c>
      <c r="C3" s="38"/>
      <c r="D3" s="38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I10" s="25"/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9" t="s">
        <v>24</v>
      </c>
      <c r="B31" s="39"/>
      <c r="C31" s="39"/>
      <c r="D31" s="39"/>
    </row>
    <row r="32" spans="1:4" x14ac:dyDescent="0.25">
      <c r="B32" s="38" t="s">
        <v>142</v>
      </c>
      <c r="C32" s="38"/>
      <c r="D32" s="38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7" ht="15.75" thickTop="1" x14ac:dyDescent="0.25"/>
    <row r="50" spans="1:7" x14ac:dyDescent="0.25">
      <c r="A50" t="s">
        <v>34</v>
      </c>
    </row>
    <row r="51" spans="1:7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25">
      <c r="A57" t="s">
        <v>51</v>
      </c>
      <c r="B57" s="12"/>
      <c r="C57" s="12"/>
      <c r="D57" s="12"/>
    </row>
    <row r="58" spans="1:7" x14ac:dyDescent="0.25">
      <c r="A58" s="1" t="s">
        <v>37</v>
      </c>
      <c r="B58" s="12"/>
      <c r="C58" s="12"/>
      <c r="D58" s="12"/>
    </row>
    <row r="59" spans="1:7" x14ac:dyDescent="0.25">
      <c r="A59" s="1" t="s">
        <v>39</v>
      </c>
      <c r="B59" s="12">
        <v>98959</v>
      </c>
      <c r="C59" s="12">
        <v>109106</v>
      </c>
      <c r="D59" s="12">
        <v>98667</v>
      </c>
      <c r="G59" s="24"/>
    </row>
    <row r="60" spans="1:7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7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25">
      <c r="B63" s="12"/>
      <c r="C63" s="12"/>
      <c r="D63" s="12"/>
    </row>
    <row r="64" spans="1:7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9" t="s">
        <v>55</v>
      </c>
      <c r="B71" s="39"/>
      <c r="C71" s="39"/>
      <c r="D71" s="39"/>
    </row>
    <row r="72" spans="1:4" x14ac:dyDescent="0.25">
      <c r="B72" s="38" t="s">
        <v>23</v>
      </c>
      <c r="C72" s="38"/>
      <c r="D72" s="38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f>-7309</f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5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5" x14ac:dyDescent="0.25">
      <c r="A114" t="s">
        <v>82</v>
      </c>
      <c r="B114" s="12">
        <v>2865</v>
      </c>
      <c r="C114" s="12">
        <v>2687</v>
      </c>
      <c r="D114" s="12">
        <v>3002</v>
      </c>
    </row>
    <row r="117" spans="1:5" x14ac:dyDescent="0.25">
      <c r="A117" t="s">
        <v>152</v>
      </c>
      <c r="B117">
        <v>138.19999999999999</v>
      </c>
      <c r="C117">
        <v>141.5</v>
      </c>
      <c r="D117">
        <v>115.81</v>
      </c>
    </row>
    <row r="119" spans="1:5" x14ac:dyDescent="0.25">
      <c r="A119" t="s">
        <v>153</v>
      </c>
      <c r="B119" s="26">
        <f>B117*4755</f>
        <v>657141</v>
      </c>
      <c r="C119" s="26">
        <f t="shared" ref="C119:D119" si="23">C117*4755</f>
        <v>672832.5</v>
      </c>
      <c r="D119" s="26">
        <f t="shared" si="23"/>
        <v>550676.55000000005</v>
      </c>
    </row>
    <row r="121" spans="1:5" x14ac:dyDescent="0.25">
      <c r="A121" t="s">
        <v>155</v>
      </c>
      <c r="B121" s="24">
        <f>(B45-C45)+B79</f>
        <v>13781</v>
      </c>
      <c r="C121" s="24">
        <f t="shared" ref="C121:D121" si="24">(C45-D45)+C79</f>
        <v>13958</v>
      </c>
      <c r="D121" s="24">
        <f>7309</f>
        <v>7309</v>
      </c>
      <c r="E121" t="s">
        <v>159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2020-05-18T16:32:37Z</dcterms:created>
  <dcterms:modified xsi:type="dcterms:W3CDTF">2023-08-06T18:09:02Z</dcterms:modified>
</cp:coreProperties>
</file>