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94C9BE3F-F5C8-4A24-8931-B3FC2D4186C9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3" l="1"/>
  <c r="D82" i="3"/>
  <c r="C82" i="3"/>
  <c r="D81" i="3"/>
  <c r="E81" i="3"/>
  <c r="C81" i="3"/>
  <c r="E75" i="3"/>
  <c r="E76" i="3"/>
  <c r="E77" i="3"/>
  <c r="E78" i="3"/>
  <c r="D75" i="3"/>
  <c r="D76" i="3"/>
  <c r="D77" i="3"/>
  <c r="D78" i="3"/>
  <c r="D74" i="3"/>
  <c r="E74" i="3"/>
  <c r="C75" i="3"/>
  <c r="C76" i="3"/>
  <c r="C77" i="3"/>
  <c r="C78" i="3"/>
  <c r="C74" i="3"/>
  <c r="E71" i="3"/>
  <c r="E72" i="3"/>
  <c r="D71" i="3"/>
  <c r="D72" i="3"/>
  <c r="C71" i="3"/>
  <c r="C72" i="3"/>
  <c r="D70" i="3"/>
  <c r="E70" i="3"/>
  <c r="C70" i="3"/>
  <c r="E67" i="3"/>
  <c r="E68" i="3"/>
  <c r="E66" i="3"/>
  <c r="D68" i="3"/>
  <c r="D66" i="3"/>
  <c r="D67" i="3"/>
  <c r="C66" i="3"/>
  <c r="C67" i="3"/>
  <c r="C68" i="3"/>
  <c r="E65" i="3"/>
  <c r="D65" i="3"/>
  <c r="C65" i="3"/>
  <c r="D64" i="3"/>
  <c r="C64" i="3"/>
  <c r="E64" i="3"/>
  <c r="E63" i="3"/>
  <c r="D63" i="3"/>
  <c r="C63" i="3"/>
  <c r="E60" i="3"/>
  <c r="D60" i="3"/>
  <c r="C60" i="3"/>
  <c r="C54" i="3"/>
  <c r="C59" i="3"/>
  <c r="E59" i="3"/>
  <c r="D59" i="3"/>
  <c r="E57" i="3"/>
  <c r="D57" i="3"/>
  <c r="C57" i="3"/>
  <c r="E56" i="3"/>
  <c r="D56" i="3"/>
  <c r="C56" i="3"/>
  <c r="E55" i="3"/>
  <c r="D55" i="3"/>
  <c r="C55" i="3"/>
  <c r="E54" i="3"/>
  <c r="D54" i="3"/>
  <c r="D50" i="3"/>
  <c r="E50" i="3"/>
  <c r="C50" i="3"/>
  <c r="R67" i="3"/>
  <c r="S67" i="3"/>
  <c r="Q67" i="3"/>
  <c r="D51" i="3"/>
  <c r="E51" i="3"/>
  <c r="C51" i="3"/>
  <c r="R61" i="3"/>
  <c r="S61" i="3"/>
  <c r="Q61" i="3"/>
  <c r="D49" i="3"/>
  <c r="E49" i="3"/>
  <c r="C49" i="3"/>
  <c r="D48" i="3"/>
  <c r="E48" i="3"/>
  <c r="C48" i="3"/>
  <c r="L68" i="3"/>
  <c r="M68" i="3"/>
  <c r="K68" i="3"/>
  <c r="L63" i="3"/>
  <c r="M63" i="3"/>
  <c r="K63" i="3"/>
  <c r="D47" i="3"/>
  <c r="E47" i="3"/>
  <c r="C47" i="3"/>
  <c r="P56" i="3"/>
  <c r="Q56" i="3"/>
  <c r="O56" i="3"/>
  <c r="E42" i="3"/>
  <c r="D42" i="3"/>
  <c r="C42" i="3"/>
  <c r="D43" i="3"/>
  <c r="E43" i="3"/>
  <c r="C43" i="3"/>
  <c r="E40" i="3"/>
  <c r="D40" i="3"/>
  <c r="C40" i="3"/>
  <c r="E96" i="3"/>
  <c r="C96" i="3"/>
  <c r="D96" i="3"/>
  <c r="D95" i="3"/>
  <c r="E95" i="3"/>
  <c r="C95" i="3"/>
  <c r="C94" i="3"/>
  <c r="D94" i="3"/>
  <c r="E94" i="3"/>
  <c r="E91" i="3"/>
  <c r="D91" i="3"/>
  <c r="C91" i="3"/>
  <c r="C90" i="3"/>
  <c r="D90" i="3"/>
  <c r="E90" i="3"/>
  <c r="D89" i="3"/>
  <c r="E89" i="3"/>
  <c r="C89" i="3"/>
  <c r="C88" i="3"/>
  <c r="D88" i="3"/>
  <c r="E88" i="3"/>
  <c r="C86" i="3"/>
  <c r="D85" i="3"/>
  <c r="D86" i="3"/>
  <c r="E86" i="3"/>
  <c r="C85" i="3"/>
  <c r="E85" i="3"/>
  <c r="D45" i="3"/>
  <c r="D44" i="3" s="1"/>
  <c r="C45" i="3"/>
  <c r="C46" i="3" s="1"/>
  <c r="E45" i="3"/>
  <c r="E44" i="3" s="1"/>
  <c r="C25" i="3"/>
  <c r="E5" i="3"/>
  <c r="D5" i="3"/>
  <c r="C5" i="3"/>
  <c r="E6" i="3"/>
  <c r="D6" i="3"/>
  <c r="C6" i="3"/>
  <c r="E7" i="3"/>
  <c r="C7" i="3"/>
  <c r="D7" i="3"/>
  <c r="E8" i="3"/>
  <c r="D8" i="3"/>
  <c r="C8" i="3"/>
  <c r="E9" i="3"/>
  <c r="D9" i="3"/>
  <c r="C9" i="3"/>
  <c r="E10" i="3"/>
  <c r="D10" i="3"/>
  <c r="C10" i="3"/>
  <c r="E11" i="3"/>
  <c r="D11" i="3"/>
  <c r="C11" i="3"/>
  <c r="E12" i="3"/>
  <c r="D12" i="3"/>
  <c r="C12" i="3"/>
  <c r="N42" i="1"/>
  <c r="N41" i="1"/>
  <c r="N40" i="1"/>
  <c r="E13" i="3"/>
  <c r="E14" i="3"/>
  <c r="D14" i="3"/>
  <c r="D13" i="3" s="1"/>
  <c r="C14" i="3"/>
  <c r="C13" i="3" s="1"/>
  <c r="E17" i="3"/>
  <c r="D17" i="3"/>
  <c r="C17" i="3"/>
  <c r="E19" i="3"/>
  <c r="E18" i="3" s="1"/>
  <c r="D19" i="3"/>
  <c r="D18" i="3" s="1"/>
  <c r="C19" i="3"/>
  <c r="C18" i="3" s="1"/>
  <c r="E20" i="3"/>
  <c r="D20" i="3"/>
  <c r="C20" i="3"/>
  <c r="E22" i="3"/>
  <c r="D22" i="3"/>
  <c r="C22" i="3"/>
  <c r="E25" i="3"/>
  <c r="D25" i="3"/>
  <c r="E26" i="3"/>
  <c r="D26" i="3"/>
  <c r="C26" i="3"/>
  <c r="E27" i="3"/>
  <c r="D27" i="3"/>
  <c r="C27" i="3"/>
  <c r="G12" i="1"/>
  <c r="G11" i="1"/>
  <c r="G10" i="1"/>
  <c r="E28" i="3"/>
  <c r="D28" i="3"/>
  <c r="C28" i="3"/>
  <c r="C29" i="3"/>
  <c r="E29" i="3"/>
  <c r="D29" i="3"/>
  <c r="E31" i="3"/>
  <c r="D31" i="3"/>
  <c r="C31" i="3"/>
  <c r="G31" i="1"/>
  <c r="E34" i="3"/>
  <c r="D34" i="3"/>
  <c r="C34" i="3"/>
  <c r="E35" i="3"/>
  <c r="D35" i="3"/>
  <c r="C35" i="3"/>
  <c r="E36" i="3"/>
  <c r="D36" i="3"/>
  <c r="C36" i="3"/>
  <c r="E37" i="3"/>
  <c r="D37" i="3"/>
  <c r="C37" i="3"/>
  <c r="F102" i="1"/>
  <c r="F101" i="1"/>
  <c r="F100" i="1"/>
  <c r="G82" i="1"/>
  <c r="G81" i="1"/>
  <c r="G80" i="1"/>
  <c r="F90" i="1"/>
  <c r="F89" i="1"/>
  <c r="F88" i="1"/>
  <c r="G76" i="1"/>
  <c r="G75" i="1"/>
  <c r="G74" i="1"/>
  <c r="G69" i="1"/>
  <c r="G68" i="1"/>
  <c r="G67" i="1"/>
  <c r="G63" i="1"/>
  <c r="G62" i="1"/>
  <c r="G61" i="1"/>
  <c r="G23" i="1"/>
  <c r="G22" i="1"/>
  <c r="G21" i="1"/>
  <c r="G33" i="1"/>
  <c r="G32" i="1"/>
  <c r="G41" i="1"/>
  <c r="G40" i="1"/>
  <c r="G39" i="1"/>
  <c r="G54" i="1"/>
  <c r="G53" i="1"/>
  <c r="G52" i="1"/>
  <c r="G48" i="1"/>
  <c r="G47" i="1"/>
  <c r="G46" i="1"/>
  <c r="L60" i="1"/>
  <c r="M57" i="1"/>
  <c r="M56" i="1"/>
  <c r="M55" i="1"/>
  <c r="L51" i="1"/>
  <c r="L49" i="1"/>
  <c r="L46" i="1"/>
  <c r="M42" i="1"/>
  <c r="M41" i="1"/>
  <c r="M40" i="1"/>
  <c r="L42" i="1"/>
  <c r="L41" i="1"/>
  <c r="L40" i="1"/>
  <c r="D108" i="1"/>
  <c r="C108" i="1"/>
  <c r="B108" i="1"/>
  <c r="D99" i="1"/>
  <c r="C99" i="1"/>
  <c r="B99" i="1"/>
  <c r="D46" i="3" l="1"/>
  <c r="E46" i="3"/>
  <c r="C44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<sst xmlns="http://schemas.openxmlformats.org/spreadsheetml/2006/main" count="320" uniqueCount="254">
  <si>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</si>
  <si>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</si>
  <si>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</si>
  <si>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</si>
  <si>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</si>
  <si>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</si>
  <si>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</si>
  <si>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</si>
  <si>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</si>
  <si>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</si>
  <si>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</si>
  <si>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</si>
  <si>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</si>
  <si>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</si>
  <si>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</si>
  <si>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</si>
  <si>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</si>
  <si>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</si>
  <si>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</si>
  <si>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</si>
  <si>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</si>
  <si>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</si>
  <si>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</si>
  <si>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</si>
  <si>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</si>
  <si>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</si>
  <si>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</si>
  <si>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</si>
  <si>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</si>
  <si>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</si>
  <si>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</si>
  <si>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</si>
  <si>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</si>
  <si>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</si>
  <si>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</si>
  <si>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</si>
  <si>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</si>
  <si>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</si>
  <si>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</si>
  <si>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</si>
  <si>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</si>
  <si>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</si>
  <si>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</si>
  <si>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</si>
  <si>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</si>
  <si>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</si>
  <si>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</si>
  <si>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</si>
  <si>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</si>
  <si>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</si>
  <si>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</si>
  <si>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</si>
  <si>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</si>
  <si>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</si>
  <si>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</si>
  <si>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</si>
  <si>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</si>
  <si>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</si>
  <si>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</si>
  <si>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</si>
  <si>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</si>
  <si>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</si>
  <si>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</si>
  <si>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</si>
  <si>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</si>
  <si>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</si>
  <si>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</si>
  <si>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</si>
  <si>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</si>
  <si>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</si>
  <si>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</si>
  <si>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</si>
  <si>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</si>
  <si>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</si>
  <si>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</si>
  <si>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</si>
  <si>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</si>
  <si>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</si>
  <si>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</si>
  <si>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</si>
  <si>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</si>
  <si>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</si>
  <si>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</si>
  <si>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</si>
  <si>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</si>
  <si>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</si>
  <si>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</si>
  <si>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</si>
  <si>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</si>
  <si>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</si>
  <si>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</si>
  <si>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</si>
  <si>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</si>
  <si>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</si>
  <si>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</si>
  <si>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</si>
  <si>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</si>
  <si>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</si>
  <si>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</si>
  <si>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</si>
  <si>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</si>
  <si>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</si>
  <si>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</si>
  <si>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</si>
  <si>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</si>
  <si>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</si>
  <si>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</si>
  <si>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</si>
  <si>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</si>
  <si>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</si>
  <si>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</si>
  <si>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</si>
  <si>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</si>
  <si>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</si>
  <si>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</si>
  <si>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</si>
  <si>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</si>
  <si>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</si>
  <si>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</si>
  <si>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</si>
  <si>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</si>
  <si>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</si>
  <si>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</si>
  <si>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</si>
  <si>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</si>
  <si>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</si>
  <si>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</si>
  <si>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</si>
  <si>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</si>
  <si>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</si>
  <si>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</si>
  <si>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</si>
  <si>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</si>
  <si>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</si>
  <si>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</si>
  <si>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</si>
  <si>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</si>
  <si>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</si>
  <si>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</si>
  <si>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</si>
  <si>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</si>
  <si>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</si>
  <si>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</si>
  <si>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</si>
  <si>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</si>
  <si>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</si>
  <si>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</si>
  <si>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</si>
  <si>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</si>
  <si>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</si>
  <si>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DIO</t>
  </si>
  <si>
    <t>DSO</t>
  </si>
  <si>
    <t>W/C</t>
  </si>
  <si>
    <t>NWC</t>
  </si>
  <si>
    <t>Net borrowing</t>
  </si>
  <si>
    <t>capex</t>
  </si>
  <si>
    <t>FCFE per share</t>
  </si>
  <si>
    <t>ROA</t>
  </si>
  <si>
    <t>Ending assets?</t>
  </si>
  <si>
    <t>Market share price</t>
  </si>
  <si>
    <t>P/E</t>
  </si>
  <si>
    <t>Formulas:</t>
  </si>
  <si>
    <t>current ratio= current assets/current liabilties</t>
  </si>
  <si>
    <t>quick ratio= cash&amp;cash equivalents+accountsrecievable/current liabilities</t>
  </si>
  <si>
    <t>cash ratio= cash&amp;cash equivalents/short term liabilities</t>
  </si>
  <si>
    <t>defensive internal ratio= current assets/average daily expenditures</t>
  </si>
  <si>
    <t>inventory days= average inventory/COGS*365 days</t>
  </si>
  <si>
    <t>reicievable days= average accounts recievable/revenue*365 days</t>
  </si>
  <si>
    <t>net trading cycle= day inventory outstanding+days sales outstanding-days payable outstanding</t>
  </si>
  <si>
    <t xml:space="preserve"> </t>
  </si>
  <si>
    <t>DIO= average or ending inventory/COGS*365 days</t>
  </si>
  <si>
    <t>DSO= average or ending accounts recievable/revenue*365 days</t>
  </si>
  <si>
    <t>DPO= average or ending accounts recievable/COGS*365 days</t>
  </si>
  <si>
    <t>working capital as a % of sales= working capital/gross sales*100</t>
  </si>
  <si>
    <t>working capital= current assets-current liabilities</t>
  </si>
  <si>
    <t>gross margin= gross profit/revenue</t>
  </si>
  <si>
    <t>gross profit= net revenue-COGS</t>
  </si>
  <si>
    <t>EBITDA= earnings before interest, taxes, demorilisation and ammortisation</t>
  </si>
  <si>
    <t>EBITDA margin= EBITDA/revenue</t>
  </si>
  <si>
    <t>EBIT= earnings before interest and tax</t>
  </si>
  <si>
    <t>EBIT margin= total revenue-COGS-operating expenses</t>
  </si>
  <si>
    <t>debt to equity= total liabilities/total shareholder equity</t>
  </si>
  <si>
    <t>debt to total assets= total debts/total assets</t>
  </si>
  <si>
    <t>long term debt to capital= long term debt/total available capital</t>
  </si>
  <si>
    <t>times interest earned= income/total interest payable on bonds or other forms of debt</t>
  </si>
  <si>
    <t>debt coverage= net operating income/ debt service (inc. principal and interest)</t>
  </si>
  <si>
    <t>FCFE= net income+D&amp;A-increase in NWC-CAPEX+net borrowing</t>
  </si>
  <si>
    <t>free cash flow per share= free cash flow/shares outstanding</t>
  </si>
  <si>
    <t>total asset turnover= net sales/average total assets</t>
  </si>
  <si>
    <t>fixed asset turnover= net revenue/average fixed assets</t>
  </si>
  <si>
    <t>inventory turnover ratio= COGS/average inventory</t>
  </si>
  <si>
    <t>return on assets= net income/average total assets</t>
  </si>
  <si>
    <t>price to equity= current stock price/earnings per share</t>
  </si>
  <si>
    <t>earnings per share= net income-preferred dividends/weighted average of shares outstanding</t>
  </si>
  <si>
    <t>price to book value= market capitilisation/ book value of equity</t>
  </si>
  <si>
    <t>book value per share= (shareholders equity-preferred equity)/weighted average common of shares outstanding</t>
  </si>
  <si>
    <t>common shares outstanding= company market capitilisation/current share price</t>
  </si>
  <si>
    <t>dividend payout ratio= dividend per share/earnings per share</t>
  </si>
  <si>
    <t>dividend per share= annual dividend/ weighted average of outstanding shares</t>
  </si>
  <si>
    <t>dividend yield= dividend/company share price</t>
  </si>
  <si>
    <t>return on equity= net income/average total equity</t>
  </si>
  <si>
    <t>return on capital employed= NOPAT/average capital employed</t>
  </si>
  <si>
    <t>return on assets= company's earnings (after tax)/total assets</t>
  </si>
  <si>
    <t>enterprise value to EBITDA= enterprise value/EBITDA</t>
  </si>
  <si>
    <t>enterprise value= equity value+net debt</t>
  </si>
  <si>
    <t>DPO</t>
  </si>
  <si>
    <t>total available capital</t>
  </si>
  <si>
    <t>net margin= net income/revenue</t>
  </si>
  <si>
    <t xml:space="preserve">Research and Development </t>
  </si>
  <si>
    <t>Selling, General and Administrative</t>
  </si>
  <si>
    <t>x</t>
  </si>
  <si>
    <t>calculate margins/ as a % of net sales</t>
  </si>
  <si>
    <t xml:space="preserve">                     %</t>
  </si>
  <si>
    <t xml:space="preserve">                                                                                                                %</t>
  </si>
  <si>
    <t xml:space="preserve">                        %</t>
  </si>
  <si>
    <t>Each operating expenses:</t>
  </si>
  <si>
    <t>calculate the following additional items</t>
  </si>
  <si>
    <t xml:space="preserve">Average Total Equity = Beginning Equity + Ending Equity / 2 </t>
  </si>
  <si>
    <t>Beg</t>
  </si>
  <si>
    <t>End</t>
  </si>
  <si>
    <t>ATE</t>
  </si>
  <si>
    <t>NOPAT = Operating income x (1  - Tax Rate)</t>
  </si>
  <si>
    <t>OI</t>
  </si>
  <si>
    <t>TR</t>
  </si>
  <si>
    <t>NOPAT</t>
  </si>
  <si>
    <t xml:space="preserve">Capital Employed = Total Assets - Current Liability </t>
  </si>
  <si>
    <t>CE</t>
  </si>
  <si>
    <t>Net Debt = Total Debt - Cash and Cash Equivalents</t>
  </si>
  <si>
    <t>Net Debt</t>
  </si>
  <si>
    <t>EBIDTA = Operating Profit + Depreciationj + Amortization</t>
  </si>
  <si>
    <t>EBIDTA</t>
  </si>
  <si>
    <t>remove row 85 from formula and remove average as well. Average is calculated for more than one period and cannot be used for single period inventory</t>
  </si>
  <si>
    <t>remove row 88 from formula and remove average as well. Average is calculated for more than one period and cannot be used for single period inventory</t>
  </si>
  <si>
    <t>remove row 84 from formula and remove average as well. Average is calculated for more than one period and cannot be used for single period inventory</t>
  </si>
  <si>
    <t>Inventory days + Receivable days - payable days</t>
  </si>
  <si>
    <t>Link operating income from row 18 and add Depreciation to it</t>
  </si>
  <si>
    <t>Operating income in row 18</t>
  </si>
  <si>
    <t>Include only term debt for Debt figure, since differed revenue is not an actual form of capital</t>
  </si>
  <si>
    <t>Remove current part of term debt</t>
  </si>
  <si>
    <t>Capital employed = Term debt + Total shareholder equity</t>
  </si>
  <si>
    <t>EBIT / Interest Expense</t>
  </si>
  <si>
    <t>EBIT/ (Interest + Debt repayment), interest can be found at the bottom of cash flow, debt repayment can be found in the cash flow statement</t>
  </si>
  <si>
    <t>Cash flow from operation - Capex + Net debt issuance (capex and debt issuance can be found in cash flow)</t>
  </si>
  <si>
    <t xml:space="preserve">Denominator value is incorrect. Simply link total assets from Balance sheet </t>
  </si>
  <si>
    <t>remove row 96 from formula and remove average calculation</t>
  </si>
  <si>
    <t>remove row 85 from formula and remove average calculation</t>
  </si>
  <si>
    <t>Denominator should be total assets</t>
  </si>
  <si>
    <t>Total shareholder equity/Diluted number of shares. Note that the three statements are reported in millions while the share count is reported in absolute number, so divide share count by 1000 within brackets</t>
  </si>
  <si>
    <t xml:space="preserve"> Capital employed = Term debt + Total shareholder equity</t>
  </si>
  <si>
    <t>Link Dividends paid in cash flow with - sign.  Note that the three statements are reported in millions while the share count is reported in absolute number, so divide share count by 1000 within brackets, not 100</t>
  </si>
  <si>
    <t>Net income/Total shareholder equity</t>
  </si>
  <si>
    <t>EV = Market Cap + Term Debt - (Cash + Cash Equivalents) where Market cap = Share price * Diluted number of shares. Note that the three statements are reported in millions while the share count is reported in absolute number, so divide share count by 1000 within brackets</t>
  </si>
  <si>
    <t>remove multiplication by 100, because the % formatting already has that function. Do this for all the rates calculated below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</si>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</sst>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  <numFmt numFmtId="168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0" fillId="4" borderId="0" xfId="0" applyFill="1"/>
    <xf numFmtId="2" fontId="0" fillId="0" borderId="0" xfId="1" applyNumberFormat="1" applyFont="1"/>
    <xf numFmtId="2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horizontal="right"/>
    </xf>
    <xf numFmtId="10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167" fontId="0" fillId="0" borderId="0" xfId="0" applyNumberFormat="1"/>
    <xf numFmtId="168" fontId="0" fillId="0" borderId="0" xfId="0" applyNumberFormat="1"/>
    <xf numFmtId="165" fontId="2" fillId="0" borderId="0" xfId="1" applyNumberFormat="1" applyFont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0" xfId="4"/>
    <xf numFmtId="10" fontId="0" fillId="0" borderId="0" xfId="3" applyNumberFormat="1" applyFont="1"/>
    <xf numFmtId="0" fontId="0" fillId="0" borderId="0" xfId="0" applyNumberFormat="1"/>
    <xf numFmtId="0" fontId="9" fillId="2" borderId="0" xfId="0" applyFont="1" applyFill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4" xr:uid="{F2DCCE4D-7E91-499D-93CB-69ADE77110A2}"/>
    <cellStyle name="Percent" xfId="3" builtinId="5"/>
  </cellStyles>
  <dxfs count="0"/>
  <tableStyles count="1" defaultTableStyle="TableStyleMedium2" defaultPivotStyle="PivotStyleLight16">
    <tableStyle name="Invisible" pivot="0" table="0" count="0" xr9:uid="{FC5AD4E2-3F0D-4150-AFD5-22F8D6D0F5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36" sqref="A36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5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6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6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6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6" t="s">
        <v>144</v>
      </c>
    </row>
    <row r="27" spans="1:1" x14ac:dyDescent="0.3">
      <c r="A27" s="15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zoomScale="70" zoomScaleNormal="70" workbookViewId="0">
      <pane xSplit="1" ySplit="4" topLeftCell="B25" activePane="bottomRight" state="frozen"/>
      <selection pane="topRight" activeCell="B1" sqref="B1"/>
      <selection pane="bottomLeft" activeCell="A5" sqref="A5"/>
      <selection pane="bottomRight" activeCell="F60" sqref="F60"/>
    </sheetView>
  </sheetViews>
  <sheetFormatPr defaultRowHeight="14.4" x14ac:dyDescent="0.3"/>
  <cols>
    <col min="1" max="1" width="155.33203125" customWidth="1"/>
    <col min="2" max="3" width="11.5546875" bestFit="1" customWidth="1"/>
    <col min="4" max="4" width="11.6640625" bestFit="1" customWidth="1"/>
    <col min="5" max="5" width="9.109375" bestFit="1" customWidth="1"/>
    <col min="6" max="6" width="38.5546875" bestFit="1" customWidth="1"/>
    <col min="7" max="7" width="17.55468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6" t="s">
        <v>1</v>
      </c>
      <c r="B2" s="36"/>
      <c r="C2" s="36"/>
      <c r="D2" s="36"/>
    </row>
    <row r="3" spans="1:10" x14ac:dyDescent="0.3">
      <c r="B3" s="35" t="s">
        <v>23</v>
      </c>
      <c r="C3" s="35"/>
      <c r="D3" s="35"/>
      <c r="F3" s="22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1">
        <v>316199</v>
      </c>
      <c r="C6" s="11">
        <v>297392</v>
      </c>
      <c r="D6" s="11">
        <v>220747</v>
      </c>
      <c r="F6" s="22"/>
    </row>
    <row r="7" spans="1:10" x14ac:dyDescent="0.3">
      <c r="A7" s="1" t="s">
        <v>5</v>
      </c>
      <c r="B7" s="11">
        <v>78129</v>
      </c>
      <c r="C7" s="11">
        <v>68425</v>
      </c>
      <c r="D7" s="11">
        <v>53768</v>
      </c>
      <c r="F7" s="22"/>
    </row>
    <row r="8" spans="1:10" x14ac:dyDescent="0.3">
      <c r="A8" s="8" t="s">
        <v>6</v>
      </c>
      <c r="B8" s="12">
        <f>+B6+B7</f>
        <v>394328</v>
      </c>
      <c r="C8" s="12">
        <f t="shared" ref="C8:D8" si="0">+C6+C7</f>
        <v>365817</v>
      </c>
      <c r="D8" s="12">
        <f t="shared" si="0"/>
        <v>274515</v>
      </c>
    </row>
    <row r="9" spans="1:10" x14ac:dyDescent="0.3">
      <c r="A9" t="s">
        <v>7</v>
      </c>
      <c r="B9" s="11"/>
      <c r="C9" s="11"/>
      <c r="D9" s="11"/>
      <c r="G9" t="s">
        <v>206</v>
      </c>
    </row>
    <row r="10" spans="1:10" x14ac:dyDescent="0.3">
      <c r="A10" s="1" t="s">
        <v>4</v>
      </c>
      <c r="B10" s="11">
        <v>201471</v>
      </c>
      <c r="C10" s="11">
        <v>192266</v>
      </c>
      <c r="D10" s="11">
        <v>151286</v>
      </c>
      <c r="F10" s="11">
        <v>2022</v>
      </c>
      <c r="G10" s="22">
        <f>B56-B42</f>
        <v>18577</v>
      </c>
    </row>
    <row r="11" spans="1:10" x14ac:dyDescent="0.3">
      <c r="A11" s="1" t="s">
        <v>5</v>
      </c>
      <c r="B11" s="11">
        <v>22075</v>
      </c>
      <c r="C11" s="11">
        <v>20715</v>
      </c>
      <c r="D11" s="11">
        <v>18273</v>
      </c>
      <c r="F11" s="11">
        <v>2021</v>
      </c>
      <c r="G11" s="22">
        <f>C56-C42</f>
        <v>-9355</v>
      </c>
    </row>
    <row r="12" spans="1:10" x14ac:dyDescent="0.3">
      <c r="A12" s="8" t="s">
        <v>8</v>
      </c>
      <c r="B12" s="12">
        <f>+B10+B11</f>
        <v>223546</v>
      </c>
      <c r="C12" s="12">
        <f t="shared" ref="C12:D12" si="1">+C10+C11</f>
        <v>212981</v>
      </c>
      <c r="D12" s="12">
        <f t="shared" si="1"/>
        <v>169559</v>
      </c>
      <c r="F12" s="22">
        <v>2020</v>
      </c>
      <c r="G12" s="22">
        <f>D56-D42</f>
        <v>-38321</v>
      </c>
    </row>
    <row r="13" spans="1:10" x14ac:dyDescent="0.3">
      <c r="A13" s="8" t="s">
        <v>9</v>
      </c>
      <c r="B13" s="12">
        <f>+B8-B12</f>
        <v>170782</v>
      </c>
      <c r="C13" s="12">
        <f t="shared" ref="C13:D13" si="2">+C8-C12</f>
        <v>152836</v>
      </c>
      <c r="D13" s="12">
        <f t="shared" si="2"/>
        <v>104956</v>
      </c>
      <c r="F13" s="22"/>
    </row>
    <row r="14" spans="1:10" x14ac:dyDescent="0.3">
      <c r="A14" t="s">
        <v>10</v>
      </c>
      <c r="B14" s="11"/>
      <c r="C14" s="11"/>
      <c r="D14" s="11"/>
    </row>
    <row r="15" spans="1:10" x14ac:dyDescent="0.3">
      <c r="A15" s="1" t="s">
        <v>11</v>
      </c>
      <c r="B15" s="11">
        <v>26251</v>
      </c>
      <c r="C15" s="11">
        <v>21914</v>
      </c>
      <c r="D15" s="11">
        <v>18752</v>
      </c>
      <c r="F15" s="22"/>
    </row>
    <row r="16" spans="1:10" x14ac:dyDescent="0.3">
      <c r="A16" s="1" t="s">
        <v>12</v>
      </c>
      <c r="B16" s="11">
        <v>25094</v>
      </c>
      <c r="C16" s="11">
        <v>21973</v>
      </c>
      <c r="D16" s="11">
        <v>19916</v>
      </c>
    </row>
    <row r="17" spans="1:7" x14ac:dyDescent="0.3">
      <c r="A17" s="8" t="s">
        <v>13</v>
      </c>
      <c r="B17" s="12">
        <f>+B15+B16</f>
        <v>51345</v>
      </c>
      <c r="C17" s="12">
        <f t="shared" ref="C17" si="3">+C15+C16</f>
        <v>43887</v>
      </c>
      <c r="D17" s="12">
        <f t="shared" ref="D17" si="4">+D15+D16</f>
        <v>38668</v>
      </c>
      <c r="F17" s="23"/>
    </row>
    <row r="18" spans="1:7" s="7" customFormat="1" x14ac:dyDescent="0.3">
      <c r="A18" s="8" t="s">
        <v>14</v>
      </c>
      <c r="B18" s="12">
        <f>+B13-B17</f>
        <v>119437</v>
      </c>
      <c r="C18" s="12">
        <f t="shared" ref="C18:D18" si="5">+C13-C17</f>
        <v>108949</v>
      </c>
      <c r="D18" s="12">
        <f t="shared" si="5"/>
        <v>66288</v>
      </c>
    </row>
    <row r="19" spans="1:7" x14ac:dyDescent="0.3">
      <c r="A19" t="s">
        <v>15</v>
      </c>
      <c r="B19" s="11">
        <v>-334</v>
      </c>
      <c r="C19" s="11">
        <v>258</v>
      </c>
      <c r="D19" s="11">
        <v>803</v>
      </c>
    </row>
    <row r="20" spans="1:7" x14ac:dyDescent="0.3">
      <c r="A20" s="8" t="s">
        <v>16</v>
      </c>
      <c r="B20" s="12">
        <f>+B18+B19</f>
        <v>119103</v>
      </c>
      <c r="C20" s="12">
        <f t="shared" ref="C20:D20" si="6">+C18+C19</f>
        <v>109207</v>
      </c>
      <c r="D20" s="12">
        <f t="shared" si="6"/>
        <v>67091</v>
      </c>
      <c r="G20" t="s">
        <v>156</v>
      </c>
    </row>
    <row r="21" spans="1:7" x14ac:dyDescent="0.3">
      <c r="A21" t="s">
        <v>17</v>
      </c>
      <c r="B21" s="11">
        <v>19300</v>
      </c>
      <c r="C21" s="11">
        <v>14527</v>
      </c>
      <c r="D21" s="11">
        <v>9680</v>
      </c>
      <c r="F21" s="11">
        <v>2022</v>
      </c>
      <c r="G21">
        <f>G31/B65</f>
        <v>-0.4959983962744221</v>
      </c>
    </row>
    <row r="22" spans="1:7" ht="15" thickBot="1" x14ac:dyDescent="0.35">
      <c r="A22" s="9" t="s">
        <v>18</v>
      </c>
      <c r="B22" s="13">
        <f>+B20-B21</f>
        <v>99803</v>
      </c>
      <c r="C22" s="13">
        <f t="shared" ref="C22:D22" si="7">+C20-C21</f>
        <v>94680</v>
      </c>
      <c r="D22" s="13">
        <f t="shared" si="7"/>
        <v>57411</v>
      </c>
      <c r="F22">
        <v>2021</v>
      </c>
      <c r="G22">
        <f>G32/C65</f>
        <v>-0.93954501873964957</v>
      </c>
    </row>
    <row r="23" spans="1:7" ht="15" thickTop="1" x14ac:dyDescent="0.3">
      <c r="A23" t="s">
        <v>19</v>
      </c>
      <c r="F23">
        <v>2020</v>
      </c>
      <c r="G23">
        <f>G33/D65</f>
        <v>-5.5618464325803973</v>
      </c>
    </row>
    <row r="24" spans="1:7" x14ac:dyDescent="0.3">
      <c r="A24" s="1" t="s">
        <v>20</v>
      </c>
      <c r="B24">
        <v>6.15</v>
      </c>
      <c r="C24">
        <v>5.67</v>
      </c>
      <c r="D24">
        <v>3.31</v>
      </c>
    </row>
    <row r="25" spans="1:7" x14ac:dyDescent="0.3">
      <c r="A25" s="1" t="s">
        <v>21</v>
      </c>
      <c r="B25">
        <v>6.11</v>
      </c>
      <c r="C25">
        <v>5.61</v>
      </c>
      <c r="D25">
        <v>3.28</v>
      </c>
    </row>
    <row r="26" spans="1:7" x14ac:dyDescent="0.3">
      <c r="A26" t="s">
        <v>22</v>
      </c>
    </row>
    <row r="27" spans="1:7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0" spans="1:7" x14ac:dyDescent="0.3">
      <c r="G30" t="s">
        <v>123</v>
      </c>
    </row>
    <row r="31" spans="1:7" x14ac:dyDescent="0.3">
      <c r="A31" s="36" t="s">
        <v>24</v>
      </c>
      <c r="B31" s="36"/>
      <c r="C31" s="36"/>
      <c r="D31" s="36"/>
      <c r="F31">
        <v>2022</v>
      </c>
      <c r="G31" s="22">
        <f>B22+B79-G46-G39+G52</f>
        <v>-32165</v>
      </c>
    </row>
    <row r="32" spans="1:7" x14ac:dyDescent="0.3">
      <c r="B32" s="35" t="s">
        <v>142</v>
      </c>
      <c r="C32" s="35"/>
      <c r="D32" s="35"/>
      <c r="F32">
        <v>2021</v>
      </c>
      <c r="G32" s="22">
        <f>C22+C79-G47-G40+G53</f>
        <v>-53897</v>
      </c>
    </row>
    <row r="33" spans="1:1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>
        <v>2020</v>
      </c>
      <c r="G33" s="22">
        <f>D22+D79-G48-G41+G54</f>
        <v>-282425</v>
      </c>
    </row>
    <row r="35" spans="1:14" x14ac:dyDescent="0.3">
      <c r="A35" t="s">
        <v>25</v>
      </c>
    </row>
    <row r="36" spans="1:14" x14ac:dyDescent="0.3">
      <c r="A36" s="1" t="s">
        <v>26</v>
      </c>
      <c r="B36" s="11">
        <v>23646</v>
      </c>
      <c r="C36" s="11">
        <v>34940</v>
      </c>
      <c r="D36" s="11">
        <v>38016</v>
      </c>
      <c r="E36" s="22"/>
    </row>
    <row r="37" spans="1:14" x14ac:dyDescent="0.3">
      <c r="A37" s="1" t="s">
        <v>27</v>
      </c>
      <c r="B37" s="11">
        <v>24658</v>
      </c>
      <c r="C37" s="11">
        <v>27699</v>
      </c>
      <c r="D37" s="11">
        <v>52927</v>
      </c>
    </row>
    <row r="38" spans="1:14" x14ac:dyDescent="0.3">
      <c r="A38" s="1" t="s">
        <v>28</v>
      </c>
      <c r="B38" s="11">
        <v>28184</v>
      </c>
      <c r="C38" s="11">
        <v>26278</v>
      </c>
      <c r="D38" s="11">
        <v>16120</v>
      </c>
      <c r="G38" t="s">
        <v>155</v>
      </c>
    </row>
    <row r="39" spans="1:14" x14ac:dyDescent="0.3">
      <c r="A39" s="1" t="s">
        <v>29</v>
      </c>
      <c r="B39" s="11">
        <v>4946</v>
      </c>
      <c r="C39" s="11">
        <v>6580</v>
      </c>
      <c r="D39" s="11">
        <v>4061</v>
      </c>
      <c r="E39" s="2">
        <v>4106</v>
      </c>
      <c r="F39" s="11">
        <v>2022</v>
      </c>
      <c r="G39" s="22">
        <f>(B45-B96)+B79</f>
        <v>63929</v>
      </c>
      <c r="L39" t="s">
        <v>150</v>
      </c>
      <c r="M39" t="s">
        <v>151</v>
      </c>
      <c r="N39" t="s">
        <v>205</v>
      </c>
    </row>
    <row r="40" spans="1:14" x14ac:dyDescent="0.3">
      <c r="A40" s="1" t="s">
        <v>47</v>
      </c>
      <c r="B40" s="11">
        <v>32748</v>
      </c>
      <c r="C40" s="11">
        <v>25228</v>
      </c>
      <c r="D40" s="11">
        <v>21325</v>
      </c>
      <c r="E40" s="2">
        <v>22878</v>
      </c>
      <c r="F40" s="11">
        <v>2021</v>
      </c>
      <c r="G40" s="22">
        <f>(C45-C96)+C79</f>
        <v>61809</v>
      </c>
      <c r="K40" s="11">
        <v>2022</v>
      </c>
      <c r="L40" s="22">
        <f>(B39/B12)*365</f>
        <v>8.0756980666171607</v>
      </c>
      <c r="M40">
        <f>(B38/B8)*365</f>
        <v>26.087825363656648</v>
      </c>
      <c r="N40">
        <f>AVERAGE(B51+B88)/B12*365</f>
        <v>120.11172197221153</v>
      </c>
    </row>
    <row r="41" spans="1:14" x14ac:dyDescent="0.3">
      <c r="A41" s="1" t="s">
        <v>30</v>
      </c>
      <c r="B41" s="11">
        <v>21223</v>
      </c>
      <c r="C41" s="11">
        <v>14111</v>
      </c>
      <c r="D41" s="11">
        <v>11264</v>
      </c>
      <c r="E41" s="2">
        <v>12352</v>
      </c>
      <c r="F41" s="11">
        <v>2020</v>
      </c>
      <c r="G41" s="22">
        <f>(D45-D96)+D79</f>
        <v>55131</v>
      </c>
      <c r="K41" s="11">
        <v>2021</v>
      </c>
      <c r="L41">
        <f>(C39/C12)*365</f>
        <v>11.27659274770989</v>
      </c>
      <c r="M41">
        <f>(C38/C8)*365</f>
        <v>26.219311841713207</v>
      </c>
      <c r="N41">
        <f>AVERAGE(C51+C88)/C12*365</f>
        <v>114.97497429348157</v>
      </c>
    </row>
    <row r="42" spans="1:14" x14ac:dyDescent="0.3">
      <c r="A42" s="8" t="s">
        <v>31</v>
      </c>
      <c r="B42" s="12">
        <f>+SUM(B36:B41)</f>
        <v>135405</v>
      </c>
      <c r="C42" s="12">
        <f t="shared" ref="C42:D42" si="9">+SUM(C36:C41)</f>
        <v>134836</v>
      </c>
      <c r="D42" s="12">
        <f t="shared" si="9"/>
        <v>143713</v>
      </c>
      <c r="K42">
        <v>2020</v>
      </c>
      <c r="L42" s="22">
        <f>(D39/D12)*365</f>
        <v>8.7418833562358831</v>
      </c>
      <c r="M42">
        <f>(D38/D8)*365</f>
        <v>21.433437152796749</v>
      </c>
      <c r="N42">
        <f>AVERAGE(D51+D88)/D12*365</f>
        <v>82.304153716405509</v>
      </c>
    </row>
    <row r="43" spans="1:14" x14ac:dyDescent="0.3">
      <c r="A43" t="s">
        <v>48</v>
      </c>
      <c r="B43" s="11"/>
      <c r="C43" s="11"/>
      <c r="D43" s="11"/>
      <c r="L43" s="23"/>
    </row>
    <row r="44" spans="1:14" x14ac:dyDescent="0.3">
      <c r="A44" s="1" t="s">
        <v>27</v>
      </c>
      <c r="B44" s="11">
        <v>120805</v>
      </c>
      <c r="C44" s="11">
        <v>127877</v>
      </c>
      <c r="D44" s="11">
        <v>100887</v>
      </c>
      <c r="E44" s="2">
        <v>105341</v>
      </c>
    </row>
    <row r="45" spans="1:14" x14ac:dyDescent="0.3">
      <c r="A45" s="1" t="s">
        <v>32</v>
      </c>
      <c r="B45" s="11">
        <v>42117</v>
      </c>
      <c r="C45" s="11">
        <v>39440</v>
      </c>
      <c r="D45" s="11">
        <v>36766</v>
      </c>
      <c r="E45" s="2">
        <v>37378</v>
      </c>
      <c r="G45" t="s">
        <v>153</v>
      </c>
      <c r="L45" s="23"/>
    </row>
    <row r="46" spans="1:14" x14ac:dyDescent="0.3">
      <c r="A46" s="1" t="s">
        <v>49</v>
      </c>
      <c r="B46" s="11">
        <v>54428</v>
      </c>
      <c r="C46" s="11">
        <v>48849</v>
      </c>
      <c r="D46" s="11">
        <v>42522</v>
      </c>
      <c r="E46" s="2">
        <v>32298</v>
      </c>
      <c r="F46" s="11">
        <v>2022</v>
      </c>
      <c r="G46" s="22">
        <f>B48-B56</f>
        <v>198773</v>
      </c>
      <c r="L46" s="22">
        <f>L40+M40-H10</f>
        <v>34.163523430273813</v>
      </c>
    </row>
    <row r="47" spans="1:14" x14ac:dyDescent="0.3">
      <c r="A47" s="8" t="s">
        <v>50</v>
      </c>
      <c r="B47" s="12">
        <f>+SUM(B44:B46)</f>
        <v>217350</v>
      </c>
      <c r="C47" s="12">
        <f t="shared" ref="C47:D47" si="10">+SUM(C44:C46)</f>
        <v>216166</v>
      </c>
      <c r="D47" s="12">
        <f t="shared" si="10"/>
        <v>180175</v>
      </c>
      <c r="F47">
        <v>2021</v>
      </c>
      <c r="G47" s="22">
        <f>C48-C56</f>
        <v>225521</v>
      </c>
    </row>
    <row r="48" spans="1:14" ht="15" thickBot="1" x14ac:dyDescent="0.35">
      <c r="A48" s="9" t="s">
        <v>33</v>
      </c>
      <c r="B48" s="13">
        <f>+B42+B47</f>
        <v>352755</v>
      </c>
      <c r="C48" s="13">
        <f t="shared" ref="C48:D48" si="11">+C42+C47</f>
        <v>351002</v>
      </c>
      <c r="D48" s="13">
        <f t="shared" si="11"/>
        <v>323888</v>
      </c>
      <c r="F48">
        <v>2020</v>
      </c>
      <c r="G48" s="22">
        <f>D48-D56</f>
        <v>218496</v>
      </c>
      <c r="K48" s="7"/>
      <c r="L48" s="7"/>
      <c r="M48" s="7"/>
    </row>
    <row r="49" spans="1:13" ht="15" thickTop="1" x14ac:dyDescent="0.3">
      <c r="G49" s="2"/>
      <c r="L49">
        <f>L41+M41-H11</f>
        <v>37.495904589423098</v>
      </c>
    </row>
    <row r="50" spans="1:13" x14ac:dyDescent="0.3">
      <c r="A50" t="s">
        <v>34</v>
      </c>
    </row>
    <row r="51" spans="1:13" x14ac:dyDescent="0.3">
      <c r="A51" s="1" t="s">
        <v>35</v>
      </c>
      <c r="B51" s="11">
        <v>64115</v>
      </c>
      <c r="C51" s="11">
        <v>54763</v>
      </c>
      <c r="D51" s="11">
        <v>42296</v>
      </c>
      <c r="E51" s="2">
        <v>46236</v>
      </c>
      <c r="F51" s="11"/>
      <c r="G51" s="2" t="s">
        <v>154</v>
      </c>
      <c r="L51" s="22">
        <f>L42+M42-H12</f>
        <v>30.17532050903263</v>
      </c>
    </row>
    <row r="52" spans="1:13" x14ac:dyDescent="0.3">
      <c r="A52" s="1" t="s">
        <v>36</v>
      </c>
      <c r="B52" s="11">
        <v>60845</v>
      </c>
      <c r="C52" s="11">
        <v>47493</v>
      </c>
      <c r="D52" s="11">
        <v>42684</v>
      </c>
      <c r="E52" s="2">
        <v>37720</v>
      </c>
      <c r="F52" s="11">
        <v>2022</v>
      </c>
      <c r="G52" s="22">
        <f>(B55+B59)-B105</f>
        <v>119630</v>
      </c>
    </row>
    <row r="53" spans="1:13" x14ac:dyDescent="0.3">
      <c r="A53" s="1" t="s">
        <v>37</v>
      </c>
      <c r="B53" s="11">
        <v>7912</v>
      </c>
      <c r="C53" s="11">
        <v>7612</v>
      </c>
      <c r="D53" s="11">
        <v>6643</v>
      </c>
      <c r="E53" s="2">
        <v>5522</v>
      </c>
      <c r="F53" s="11">
        <v>2021</v>
      </c>
      <c r="G53" s="11">
        <f>(C55+C59)-C105</f>
        <v>127469</v>
      </c>
      <c r="L53" s="22"/>
    </row>
    <row r="54" spans="1:13" x14ac:dyDescent="0.3">
      <c r="A54" s="1" t="s">
        <v>38</v>
      </c>
      <c r="B54" s="11">
        <v>9982</v>
      </c>
      <c r="C54" s="11">
        <v>6000</v>
      </c>
      <c r="D54" s="11">
        <v>4996</v>
      </c>
      <c r="E54" s="2">
        <v>5980</v>
      </c>
      <c r="F54" s="11">
        <v>2020</v>
      </c>
      <c r="G54" s="22">
        <f>(D55-D59)-D105</f>
        <v>-77265</v>
      </c>
      <c r="M54" t="s">
        <v>152</v>
      </c>
    </row>
    <row r="55" spans="1:13" x14ac:dyDescent="0.3">
      <c r="A55" s="1" t="s">
        <v>39</v>
      </c>
      <c r="B55" s="11">
        <v>11128</v>
      </c>
      <c r="C55" s="11">
        <v>9613</v>
      </c>
      <c r="D55" s="11">
        <v>8773</v>
      </c>
      <c r="E55" s="2">
        <v>10260</v>
      </c>
      <c r="F55" s="22"/>
      <c r="K55" s="24"/>
      <c r="L55" s="24">
        <v>2022</v>
      </c>
      <c r="M55" s="22">
        <f>B42-B56</f>
        <v>-18577</v>
      </c>
    </row>
    <row r="56" spans="1:13" x14ac:dyDescent="0.3">
      <c r="A56" s="8" t="s">
        <v>40</v>
      </c>
      <c r="B56" s="12">
        <f>+SUM(B51:B55)</f>
        <v>153982</v>
      </c>
      <c r="C56" s="12">
        <f t="shared" ref="C56:D56" si="12">+SUM(C51:C55)</f>
        <v>125481</v>
      </c>
      <c r="D56" s="12">
        <f t="shared" si="12"/>
        <v>105392</v>
      </c>
      <c r="L56">
        <v>2021</v>
      </c>
      <c r="M56" s="22">
        <f>C42-C56</f>
        <v>9355</v>
      </c>
    </row>
    <row r="57" spans="1:13" x14ac:dyDescent="0.3">
      <c r="A57" t="s">
        <v>51</v>
      </c>
      <c r="B57" s="11"/>
      <c r="C57" s="11"/>
      <c r="D57" s="11"/>
      <c r="L57" s="2">
        <v>2020</v>
      </c>
      <c r="M57" s="22">
        <f>D42-D56</f>
        <v>38321</v>
      </c>
    </row>
    <row r="58" spans="1:13" x14ac:dyDescent="0.3">
      <c r="A58" s="1" t="s">
        <v>37</v>
      </c>
      <c r="B58" s="11"/>
      <c r="C58" s="11"/>
      <c r="D58" s="11"/>
    </row>
    <row r="59" spans="1:13" x14ac:dyDescent="0.3">
      <c r="A59" s="1" t="s">
        <v>39</v>
      </c>
      <c r="B59" s="11">
        <v>98959</v>
      </c>
      <c r="C59" s="11">
        <v>109106</v>
      </c>
      <c r="D59" s="11">
        <v>98667</v>
      </c>
      <c r="E59" s="2">
        <v>91807</v>
      </c>
    </row>
    <row r="60" spans="1:13" x14ac:dyDescent="0.3">
      <c r="A60" s="1" t="s">
        <v>52</v>
      </c>
      <c r="B60" s="11">
        <v>49142</v>
      </c>
      <c r="C60" s="11">
        <v>53325</v>
      </c>
      <c r="D60" s="11">
        <v>54490</v>
      </c>
      <c r="E60" s="2">
        <v>50503</v>
      </c>
      <c r="G60" t="s">
        <v>125</v>
      </c>
      <c r="L60">
        <f>(M57/D8)*100</f>
        <v>13.959528623208204</v>
      </c>
    </row>
    <row r="61" spans="1:13" x14ac:dyDescent="0.3">
      <c r="A61" s="21" t="s">
        <v>53</v>
      </c>
      <c r="B61" s="20">
        <f>+B59+B60</f>
        <v>148101</v>
      </c>
      <c r="C61" s="20">
        <f t="shared" ref="C61:D61" si="13">+C59+C60</f>
        <v>162431</v>
      </c>
      <c r="D61" s="20">
        <f t="shared" si="13"/>
        <v>153157</v>
      </c>
      <c r="F61">
        <v>2022</v>
      </c>
      <c r="G61">
        <f>B8/(AVERAGE(B91+B48))</f>
        <v>0.83032852817189085</v>
      </c>
    </row>
    <row r="62" spans="1:13" x14ac:dyDescent="0.3">
      <c r="A62" s="8" t="s">
        <v>41</v>
      </c>
      <c r="B62" s="12">
        <f>+B56+B61</f>
        <v>302083</v>
      </c>
      <c r="C62" s="12">
        <f t="shared" ref="C62:D62" si="14">+C56+C61</f>
        <v>287912</v>
      </c>
      <c r="D62" s="12">
        <f t="shared" si="14"/>
        <v>258549</v>
      </c>
      <c r="F62">
        <v>2021</v>
      </c>
      <c r="G62">
        <f>C8/(AVERAGE(C91+C48))</f>
        <v>0.80392273206751053</v>
      </c>
    </row>
    <row r="63" spans="1:13" x14ac:dyDescent="0.3">
      <c r="B63" s="11"/>
      <c r="C63" s="11"/>
      <c r="D63" s="11"/>
      <c r="F63">
        <v>2020</v>
      </c>
      <c r="G63">
        <f>D8/(AVERAGE(D91+D48))</f>
        <v>0.67854865261690422</v>
      </c>
    </row>
    <row r="64" spans="1:13" x14ac:dyDescent="0.3">
      <c r="A64" t="s">
        <v>42</v>
      </c>
      <c r="B64" s="11"/>
      <c r="C64" s="11"/>
      <c r="D64" s="11"/>
    </row>
    <row r="65" spans="1:11" x14ac:dyDescent="0.3">
      <c r="A65" s="1" t="s">
        <v>54</v>
      </c>
      <c r="B65" s="11">
        <v>64849</v>
      </c>
      <c r="C65" s="11">
        <v>57365</v>
      </c>
      <c r="D65" s="11">
        <v>50779</v>
      </c>
    </row>
    <row r="66" spans="1:11" x14ac:dyDescent="0.3">
      <c r="A66" s="1" t="s">
        <v>43</v>
      </c>
      <c r="B66" s="11">
        <v>-3068</v>
      </c>
      <c r="C66" s="11">
        <v>5562</v>
      </c>
      <c r="D66" s="11">
        <v>14966</v>
      </c>
      <c r="G66" t="s">
        <v>126</v>
      </c>
    </row>
    <row r="67" spans="1:11" x14ac:dyDescent="0.3">
      <c r="A67" s="1" t="s">
        <v>44</v>
      </c>
      <c r="B67" s="11">
        <v>-11109</v>
      </c>
      <c r="C67" s="11">
        <v>163</v>
      </c>
      <c r="D67" s="11">
        <v>-406</v>
      </c>
      <c r="F67" s="11">
        <v>2022</v>
      </c>
      <c r="G67">
        <f>B22/(AVERAGE(B45+B96))</f>
        <v>3.1775287338024132</v>
      </c>
    </row>
    <row r="68" spans="1:11" x14ac:dyDescent="0.3">
      <c r="A68" s="8" t="s">
        <v>45</v>
      </c>
      <c r="B68" s="12">
        <f>+SUM(B65:B67)</f>
        <v>50672</v>
      </c>
      <c r="C68" s="12">
        <f t="shared" ref="C68:D68" si="15">+SUM(C65:C67)</f>
        <v>63090</v>
      </c>
      <c r="D68" s="12">
        <f t="shared" si="15"/>
        <v>65339</v>
      </c>
      <c r="F68">
        <v>2021</v>
      </c>
      <c r="G68">
        <f>C22/(AVERAGE(C45+C96))</f>
        <v>3.3390936342796684</v>
      </c>
      <c r="K68" s="22"/>
    </row>
    <row r="69" spans="1:11" ht="15" thickBot="1" x14ac:dyDescent="0.35">
      <c r="A69" s="9" t="s">
        <v>46</v>
      </c>
      <c r="B69" s="13">
        <f>+B68+B62</f>
        <v>352755</v>
      </c>
      <c r="C69" s="13">
        <f t="shared" ref="C69:D69" si="16">+C68+C62</f>
        <v>351002</v>
      </c>
      <c r="D69" s="13">
        <f t="shared" si="16"/>
        <v>323888</v>
      </c>
      <c r="F69">
        <v>2020</v>
      </c>
      <c r="G69">
        <f>D22/(AVERAGE(D45+D96))</f>
        <v>1.9489764741827069</v>
      </c>
    </row>
    <row r="70" spans="1:11" ht="15" thickTop="1" x14ac:dyDescent="0.3"/>
    <row r="71" spans="1:11" x14ac:dyDescent="0.3">
      <c r="A71" s="36" t="s">
        <v>55</v>
      </c>
      <c r="B71" s="36"/>
      <c r="C71" s="36"/>
      <c r="D71" s="36"/>
    </row>
    <row r="72" spans="1:11" x14ac:dyDescent="0.3">
      <c r="B72" s="35" t="s">
        <v>23</v>
      </c>
      <c r="C72" s="35"/>
      <c r="D72" s="35"/>
    </row>
    <row r="73" spans="1:11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  <c r="F73" s="2"/>
      <c r="G73" t="s">
        <v>127</v>
      </c>
      <c r="H73" s="2"/>
    </row>
    <row r="74" spans="1:11" x14ac:dyDescent="0.3">
      <c r="F74">
        <v>2022</v>
      </c>
      <c r="G74">
        <f>B12/(AVERAGE(B85+B39))</f>
        <v>34.76609642301711</v>
      </c>
    </row>
    <row r="75" spans="1:11" x14ac:dyDescent="0.3">
      <c r="A75" s="7" t="s">
        <v>56</v>
      </c>
      <c r="B75" s="14"/>
      <c r="C75" s="14"/>
      <c r="D75" s="14"/>
      <c r="F75" s="11">
        <v>2021</v>
      </c>
      <c r="G75">
        <f>C12/(AVERAGE(C85+C39))</f>
        <v>54.083544946673442</v>
      </c>
      <c r="H75" s="11"/>
    </row>
    <row r="76" spans="1:11" x14ac:dyDescent="0.3">
      <c r="A76" t="s">
        <v>57</v>
      </c>
      <c r="B76" s="11">
        <f>+B22</f>
        <v>99803</v>
      </c>
      <c r="C76" s="11">
        <f t="shared" ref="C76:D76" si="18">+C22</f>
        <v>94680</v>
      </c>
      <c r="D76" s="11">
        <f t="shared" si="18"/>
        <v>57411</v>
      </c>
      <c r="F76">
        <v>2020</v>
      </c>
      <c r="G76" s="22">
        <f>D12/(AVERAGE(D85+D39))</f>
        <v>43.10091509913574</v>
      </c>
    </row>
    <row r="77" spans="1:11" x14ac:dyDescent="0.3">
      <c r="A77" s="10" t="s">
        <v>18</v>
      </c>
      <c r="B77" s="14"/>
      <c r="C77" s="14"/>
      <c r="D77" s="14"/>
      <c r="F77" s="11"/>
      <c r="G77" s="22"/>
      <c r="H77" s="11"/>
    </row>
    <row r="78" spans="1:11" x14ac:dyDescent="0.3">
      <c r="A78" s="1" t="s">
        <v>58</v>
      </c>
      <c r="B78" s="11"/>
      <c r="C78" s="11"/>
      <c r="D78" s="11"/>
      <c r="G78" s="22"/>
    </row>
    <row r="79" spans="1:11" x14ac:dyDescent="0.3">
      <c r="A79" s="3" t="s">
        <v>59</v>
      </c>
      <c r="B79" s="11">
        <v>11104</v>
      </c>
      <c r="C79" s="11">
        <v>11284</v>
      </c>
      <c r="D79" s="11">
        <v>11056</v>
      </c>
      <c r="G79" t="s">
        <v>157</v>
      </c>
    </row>
    <row r="80" spans="1:11" x14ac:dyDescent="0.3">
      <c r="A80" s="3" t="s">
        <v>83</v>
      </c>
      <c r="B80" s="11">
        <v>9038</v>
      </c>
      <c r="C80" s="11">
        <v>7906</v>
      </c>
      <c r="D80" s="11">
        <v>6829</v>
      </c>
      <c r="F80" s="11">
        <v>2022</v>
      </c>
      <c r="G80">
        <f>B76/(AVERAGE(F88+B48))</f>
        <v>0.26606825325310646</v>
      </c>
    </row>
    <row r="81" spans="1:7" x14ac:dyDescent="0.3">
      <c r="A81" s="3" t="s">
        <v>60</v>
      </c>
      <c r="B81" s="11">
        <v>895</v>
      </c>
      <c r="C81" s="11">
        <v>-4774</v>
      </c>
      <c r="D81" s="11">
        <v>-215</v>
      </c>
      <c r="F81" s="11">
        <v>2021</v>
      </c>
      <c r="G81">
        <f>C76/(AVERAGE(F89+C48))</f>
        <v>0.26273726273726272</v>
      </c>
    </row>
    <row r="82" spans="1:7" x14ac:dyDescent="0.3">
      <c r="A82" s="3" t="s">
        <v>61</v>
      </c>
      <c r="B82" s="11">
        <v>111</v>
      </c>
      <c r="C82" s="11">
        <v>-147</v>
      </c>
      <c r="D82" s="11">
        <v>-97</v>
      </c>
      <c r="F82" s="11">
        <v>2020</v>
      </c>
      <c r="G82">
        <f>D76/(AVERAGE(F90+D48))</f>
        <v>0.16537760225377429</v>
      </c>
    </row>
    <row r="83" spans="1:7" x14ac:dyDescent="0.3">
      <c r="A83" t="s">
        <v>62</v>
      </c>
      <c r="B83" s="11"/>
      <c r="C83" s="11"/>
      <c r="D83" s="11"/>
    </row>
    <row r="84" spans="1:7" x14ac:dyDescent="0.3">
      <c r="A84" s="1" t="s">
        <v>28</v>
      </c>
      <c r="B84" s="11">
        <v>-1823</v>
      </c>
      <c r="C84" s="11">
        <v>-10125</v>
      </c>
      <c r="D84" s="11">
        <v>6917</v>
      </c>
      <c r="F84" s="22"/>
    </row>
    <row r="85" spans="1:7" x14ac:dyDescent="0.3">
      <c r="A85" s="1" t="s">
        <v>29</v>
      </c>
      <c r="B85" s="11">
        <v>1484</v>
      </c>
      <c r="C85" s="11">
        <v>-2642</v>
      </c>
      <c r="D85" s="11">
        <v>-127</v>
      </c>
    </row>
    <row r="86" spans="1:7" x14ac:dyDescent="0.3">
      <c r="A86" s="1" t="s">
        <v>47</v>
      </c>
      <c r="B86" s="11">
        <v>-7520</v>
      </c>
      <c r="C86" s="11">
        <v>-3903</v>
      </c>
      <c r="D86" s="11">
        <v>1553</v>
      </c>
    </row>
    <row r="87" spans="1:7" x14ac:dyDescent="0.3">
      <c r="A87" s="1" t="s">
        <v>84</v>
      </c>
      <c r="B87" s="11">
        <v>-6499</v>
      </c>
      <c r="C87" s="11">
        <v>-8042</v>
      </c>
      <c r="D87" s="11">
        <v>-9588</v>
      </c>
      <c r="F87" s="22" t="s">
        <v>158</v>
      </c>
    </row>
    <row r="88" spans="1:7" x14ac:dyDescent="0.3">
      <c r="A88" s="1" t="s">
        <v>35</v>
      </c>
      <c r="B88" s="11">
        <v>9448</v>
      </c>
      <c r="C88" s="11">
        <v>12326</v>
      </c>
      <c r="D88" s="11">
        <v>-4062</v>
      </c>
      <c r="F88" s="11">
        <f>SUM(B79:B90)</f>
        <v>22348</v>
      </c>
    </row>
    <row r="89" spans="1:7" x14ac:dyDescent="0.3">
      <c r="A89" s="1" t="s">
        <v>37</v>
      </c>
      <c r="B89" s="11">
        <v>478</v>
      </c>
      <c r="C89" s="11">
        <v>1676</v>
      </c>
      <c r="D89" s="11">
        <v>2081</v>
      </c>
      <c r="F89" s="11">
        <f>SUM(C79:C90)</f>
        <v>9358</v>
      </c>
    </row>
    <row r="90" spans="1:7" x14ac:dyDescent="0.3">
      <c r="A90" s="1" t="s">
        <v>85</v>
      </c>
      <c r="B90" s="11">
        <v>5632</v>
      </c>
      <c r="C90" s="11">
        <v>5799</v>
      </c>
      <c r="D90" s="11">
        <v>8916</v>
      </c>
      <c r="F90" s="22">
        <f>SUM(D79:D90)</f>
        <v>23263</v>
      </c>
    </row>
    <row r="91" spans="1:7" x14ac:dyDescent="0.3">
      <c r="A91" s="8" t="s">
        <v>63</v>
      </c>
      <c r="B91" s="12">
        <f>+SUM(B76:B90)</f>
        <v>122151</v>
      </c>
      <c r="C91" s="12">
        <f t="shared" ref="C91:D91" si="19">+SUM(C76:C90)</f>
        <v>104038</v>
      </c>
      <c r="D91" s="12">
        <f t="shared" si="19"/>
        <v>80674</v>
      </c>
    </row>
    <row r="92" spans="1:7" x14ac:dyDescent="0.3">
      <c r="A92" s="7" t="s">
        <v>64</v>
      </c>
      <c r="B92" s="11"/>
      <c r="C92" s="11"/>
      <c r="D92" s="11"/>
      <c r="G92" t="s">
        <v>159</v>
      </c>
    </row>
    <row r="93" spans="1:7" x14ac:dyDescent="0.3">
      <c r="A93" s="1" t="s">
        <v>65</v>
      </c>
      <c r="B93" s="11">
        <v>-76923</v>
      </c>
      <c r="C93" s="11">
        <v>-109558</v>
      </c>
      <c r="D93" s="11">
        <v>-114938</v>
      </c>
      <c r="F93" s="11">
        <v>2022</v>
      </c>
      <c r="G93" s="25">
        <v>155.81</v>
      </c>
    </row>
    <row r="94" spans="1:7" x14ac:dyDescent="0.3">
      <c r="A94" s="1" t="s">
        <v>66</v>
      </c>
      <c r="B94" s="11">
        <v>29917</v>
      </c>
      <c r="C94" s="11">
        <v>59023</v>
      </c>
      <c r="D94" s="11">
        <v>69918</v>
      </c>
      <c r="F94" s="11">
        <v>2021</v>
      </c>
      <c r="G94" s="25">
        <v>154.30000000000001</v>
      </c>
    </row>
    <row r="95" spans="1:7" x14ac:dyDescent="0.3">
      <c r="A95" s="1" t="s">
        <v>67</v>
      </c>
      <c r="B95" s="11">
        <v>37446</v>
      </c>
      <c r="C95" s="11">
        <v>47460</v>
      </c>
      <c r="D95" s="11">
        <v>50473</v>
      </c>
      <c r="F95" s="11">
        <v>2020</v>
      </c>
      <c r="G95" s="25">
        <v>113.02</v>
      </c>
    </row>
    <row r="96" spans="1:7" x14ac:dyDescent="0.3">
      <c r="A96" s="1" t="s">
        <v>68</v>
      </c>
      <c r="B96" s="11">
        <v>-10708</v>
      </c>
      <c r="C96" s="11">
        <v>-11085</v>
      </c>
      <c r="D96" s="11">
        <v>-7309</v>
      </c>
    </row>
    <row r="97" spans="1:7" x14ac:dyDescent="0.3">
      <c r="A97" s="1" t="s">
        <v>69</v>
      </c>
      <c r="B97" s="11">
        <v>-306</v>
      </c>
      <c r="C97" s="11">
        <v>-33</v>
      </c>
      <c r="D97" s="11">
        <v>-1524</v>
      </c>
    </row>
    <row r="98" spans="1:7" x14ac:dyDescent="0.3">
      <c r="A98" s="1" t="s">
        <v>61</v>
      </c>
      <c r="B98" s="11">
        <v>-1780</v>
      </c>
      <c r="C98" s="11">
        <v>-352</v>
      </c>
      <c r="D98" s="11">
        <v>-909</v>
      </c>
      <c r="G98" s="11"/>
    </row>
    <row r="99" spans="1:7" x14ac:dyDescent="0.3">
      <c r="A99" s="8" t="s">
        <v>70</v>
      </c>
      <c r="B99" s="12">
        <f>+SUM(B93:B98)</f>
        <v>-22354</v>
      </c>
      <c r="C99" s="12">
        <f t="shared" ref="C99:D99" si="20">+SUM(C93:C98)</f>
        <v>-14545</v>
      </c>
      <c r="D99" s="12">
        <f t="shared" si="20"/>
        <v>-4289</v>
      </c>
      <c r="F99" t="s">
        <v>160</v>
      </c>
    </row>
    <row r="100" spans="1:7" x14ac:dyDescent="0.3">
      <c r="A100" s="7" t="s">
        <v>71</v>
      </c>
      <c r="B100" s="11"/>
      <c r="C100" s="11"/>
      <c r="D100" s="11"/>
      <c r="F100">
        <f>G93/B24</f>
        <v>25.334959349593493</v>
      </c>
    </row>
    <row r="101" spans="1:7" x14ac:dyDescent="0.3">
      <c r="A101" s="1" t="s">
        <v>86</v>
      </c>
      <c r="B101" s="11">
        <v>-6223</v>
      </c>
      <c r="C101" s="11">
        <v>-6556</v>
      </c>
      <c r="D101" s="11">
        <v>-3634</v>
      </c>
      <c r="F101">
        <f>G94/C24</f>
        <v>27.213403880070548</v>
      </c>
    </row>
    <row r="102" spans="1:7" x14ac:dyDescent="0.3">
      <c r="A102" s="1" t="s">
        <v>72</v>
      </c>
      <c r="B102" s="11">
        <v>-14841</v>
      </c>
      <c r="C102" s="11">
        <v>-14467</v>
      </c>
      <c r="D102" s="11">
        <v>-14081</v>
      </c>
      <c r="F102">
        <f>G95/D24</f>
        <v>34.145015105740178</v>
      </c>
    </row>
    <row r="103" spans="1:7" x14ac:dyDescent="0.3">
      <c r="A103" s="1" t="s">
        <v>73</v>
      </c>
      <c r="B103" s="11">
        <v>-89402</v>
      </c>
      <c r="C103" s="11">
        <v>-85971</v>
      </c>
      <c r="D103" s="11">
        <v>-72358</v>
      </c>
    </row>
    <row r="104" spans="1:7" x14ac:dyDescent="0.3">
      <c r="A104" s="1" t="s">
        <v>74</v>
      </c>
      <c r="B104" s="11">
        <v>5465</v>
      </c>
      <c r="C104" s="11">
        <v>20393</v>
      </c>
      <c r="D104" s="11">
        <v>16091</v>
      </c>
    </row>
    <row r="105" spans="1:7" x14ac:dyDescent="0.3">
      <c r="A105" s="1" t="s">
        <v>75</v>
      </c>
      <c r="B105" s="11">
        <v>-9543</v>
      </c>
      <c r="C105" s="11">
        <v>-8750</v>
      </c>
      <c r="D105" s="11">
        <v>-12629</v>
      </c>
    </row>
    <row r="106" spans="1:7" x14ac:dyDescent="0.3">
      <c r="A106" s="1" t="s">
        <v>76</v>
      </c>
      <c r="B106" s="11">
        <v>3955</v>
      </c>
      <c r="C106" s="11">
        <v>1022</v>
      </c>
      <c r="D106" s="11">
        <v>-963</v>
      </c>
    </row>
    <row r="107" spans="1:7" x14ac:dyDescent="0.3">
      <c r="A107" s="1" t="s">
        <v>61</v>
      </c>
      <c r="B107" s="11">
        <v>-160</v>
      </c>
      <c r="C107" s="11">
        <v>976</v>
      </c>
      <c r="D107" s="11">
        <v>754</v>
      </c>
    </row>
    <row r="108" spans="1:7" x14ac:dyDescent="0.3">
      <c r="A108" s="8" t="s">
        <v>77</v>
      </c>
      <c r="B108" s="12">
        <f>+SUM(B101:B107)</f>
        <v>-110749</v>
      </c>
      <c r="C108" s="12">
        <f t="shared" ref="C108:D108" si="21">+SUM(C101:C107)</f>
        <v>-93353</v>
      </c>
      <c r="D108" s="12">
        <f t="shared" si="21"/>
        <v>-86820</v>
      </c>
    </row>
    <row r="109" spans="1:7" x14ac:dyDescent="0.3">
      <c r="A109" s="8" t="s">
        <v>78</v>
      </c>
      <c r="B109" s="12">
        <f>+B91+B99+B108</f>
        <v>-10952</v>
      </c>
      <c r="C109" s="12">
        <f t="shared" ref="C109:D109" si="22">+C91+C99+C108</f>
        <v>-3860</v>
      </c>
      <c r="D109" s="12">
        <f t="shared" si="22"/>
        <v>-10435</v>
      </c>
    </row>
    <row r="110" spans="1:7" ht="15" thickBot="1" x14ac:dyDescent="0.35">
      <c r="A110" s="9" t="s">
        <v>79</v>
      </c>
      <c r="B110" s="13">
        <v>24977</v>
      </c>
      <c r="C110" s="13">
        <v>35929</v>
      </c>
      <c r="D110" s="13">
        <v>39789</v>
      </c>
    </row>
    <row r="111" spans="1:7" ht="15" thickTop="1" x14ac:dyDescent="0.3">
      <c r="B111" s="11"/>
      <c r="C111" s="11"/>
      <c r="D111" s="11"/>
    </row>
    <row r="112" spans="1:7" x14ac:dyDescent="0.3">
      <c r="A112" t="s">
        <v>80</v>
      </c>
      <c r="B112" s="11"/>
      <c r="C112" s="11"/>
      <c r="D112" s="11"/>
      <c r="F112" s="11"/>
      <c r="G112" s="11"/>
    </row>
    <row r="113" spans="1:4" x14ac:dyDescent="0.3">
      <c r="A113" t="s">
        <v>81</v>
      </c>
      <c r="B113" s="11">
        <v>19573</v>
      </c>
      <c r="C113" s="11">
        <v>25385</v>
      </c>
      <c r="D113" s="11">
        <v>9501</v>
      </c>
    </row>
    <row r="114" spans="1:4" x14ac:dyDescent="0.3">
      <c r="A114" t="s">
        <v>82</v>
      </c>
      <c r="B114" s="11">
        <v>2865</v>
      </c>
      <c r="C114" s="11">
        <v>2687</v>
      </c>
      <c r="D114" s="11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6"/>
  <sheetViews>
    <sheetView tabSelected="1" zoomScale="90" zoomScaleNormal="90" workbookViewId="0">
      <selection activeCell="F1" sqref="F1"/>
    </sheetView>
  </sheetViews>
  <sheetFormatPr defaultRowHeight="14.4" x14ac:dyDescent="0.3"/>
  <cols>
    <col min="1" max="1" width="4.6640625" customWidth="1"/>
    <col min="2" max="2" width="77.109375" bestFit="1" customWidth="1"/>
    <col min="3" max="3" width="46.5546875" customWidth="1"/>
    <col min="4" max="4" width="21.33203125" customWidth="1"/>
    <col min="5" max="5" width="15" bestFit="1" customWidth="1"/>
    <col min="6" max="6" width="46.88671875" customWidth="1"/>
    <col min="9" max="9" width="78.88671875" bestFit="1" customWidth="1"/>
  </cols>
  <sheetData>
    <row r="1" spans="1:10" ht="60" customHeight="1" x14ac:dyDescent="0.5">
      <c r="A1" s="6"/>
      <c r="B1" s="19" t="s">
        <v>0</v>
      </c>
      <c r="C1" s="18"/>
      <c r="D1" s="18"/>
      <c r="E1" s="18"/>
      <c r="F1" s="40" t="s">
        <v>253</v>
      </c>
      <c r="G1" s="18"/>
      <c r="H1" s="18"/>
      <c r="I1" s="18"/>
      <c r="J1" s="18"/>
    </row>
    <row r="2" spans="1:10" x14ac:dyDescent="0.3">
      <c r="C2" s="35" t="s">
        <v>23</v>
      </c>
      <c r="D2" s="35"/>
      <c r="E2" s="3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161</v>
      </c>
    </row>
    <row r="4" spans="1:10" x14ac:dyDescent="0.3">
      <c r="A4" s="17">
        <v>1</v>
      </c>
      <c r="B4" s="7" t="s">
        <v>99</v>
      </c>
      <c r="I4" t="s">
        <v>162</v>
      </c>
    </row>
    <row r="5" spans="1:10" x14ac:dyDescent="0.3">
      <c r="A5" s="17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  <c r="I5" t="s">
        <v>163</v>
      </c>
    </row>
    <row r="6" spans="1:10" x14ac:dyDescent="0.3">
      <c r="A6" s="17">
        <f t="shared" ref="A6:A13" si="0">+A5+0.1</f>
        <v>1.2000000000000002</v>
      </c>
      <c r="B6" s="1" t="s">
        <v>101</v>
      </c>
      <c r="C6" s="26">
        <f>('Financial Statements'!B36+'Financial Statements'!B38)/'Financial Statements'!B56</f>
        <v>0.33659778415658975</v>
      </c>
      <c r="D6" s="26">
        <f>('Financial Statements'!C36+'Financial Statements'!C38)/'Financial Statements'!C56</f>
        <v>0.48786668898080188</v>
      </c>
      <c r="E6" s="26">
        <f>('Financial Statements'!D36+'Financial Statements'!D38)/'Financial Statements'!D56</f>
        <v>0.51366327614999241</v>
      </c>
      <c r="I6" t="s">
        <v>164</v>
      </c>
    </row>
    <row r="7" spans="1:10" x14ac:dyDescent="0.3">
      <c r="A7" s="17">
        <f t="shared" si="0"/>
        <v>1.3000000000000003</v>
      </c>
      <c r="B7" s="1" t="s">
        <v>102</v>
      </c>
      <c r="C7" s="26">
        <f>'Financial Statements'!B42/'Financial Statements'!B62</f>
        <v>0.44823773598646732</v>
      </c>
      <c r="D7" s="26">
        <f>'Financial Statements'!C42/'Financial Statements'!C62</f>
        <v>0.46832365444997082</v>
      </c>
      <c r="E7" s="26">
        <f>'Financial Statements'!D42/'Financial Statements'!D62</f>
        <v>0.55584434671957739</v>
      </c>
      <c r="I7" t="s">
        <v>165</v>
      </c>
    </row>
    <row r="8" spans="1:10" x14ac:dyDescent="0.3">
      <c r="A8" s="17">
        <f t="shared" si="0"/>
        <v>1.4000000000000004</v>
      </c>
      <c r="B8" s="1" t="s">
        <v>103</v>
      </c>
      <c r="C8" s="26">
        <f>'Financial Statements'!B42/('Financial Statements'!B12+'Financial Statements'!B17-'Financial Statements'!B79/365)</f>
        <v>0.49263157686989129</v>
      </c>
      <c r="D8" s="26">
        <f>'Financial Statements'!C42/('Financial Statements'!C12+'Financial Statements'!C17-'Financial Statements'!B79/365)</f>
        <v>0.52498548306996773</v>
      </c>
      <c r="E8" s="26">
        <f>'Financial Statements'!D42/('Financial Statements'!D12+'Financial Statements'!D17-'Financial Statements'!D79/365)</f>
        <v>0.69027507823574485</v>
      </c>
      <c r="I8" t="s">
        <v>166</v>
      </c>
    </row>
    <row r="9" spans="1:10" x14ac:dyDescent="0.3">
      <c r="A9" s="17">
        <f t="shared" si="0"/>
        <v>1.5000000000000004</v>
      </c>
      <c r="B9" s="1" t="s">
        <v>104</v>
      </c>
      <c r="C9" s="26">
        <f>AVERAGE('Financial Statements'!B39+'Financial Statements'!B85)/'Financial Statements'!B12*365</f>
        <v>10.498734041315881</v>
      </c>
      <c r="D9" s="26">
        <f>AVERAGE('Financial Statements'!C39+'Financial Statements'!C85)/'Financial Statements'!C12*365</f>
        <v>6.748817969678047</v>
      </c>
      <c r="E9" s="26">
        <f>AVERAGE('Financial Statements'!D39+'Financial Statements'!D85)/'Financial Statements'!D12*365</f>
        <v>8.4684976910691852</v>
      </c>
      <c r="F9" t="s">
        <v>231</v>
      </c>
      <c r="I9" t="s">
        <v>167</v>
      </c>
    </row>
    <row r="10" spans="1:10" x14ac:dyDescent="0.3">
      <c r="A10" s="17">
        <f t="shared" si="0"/>
        <v>1.6000000000000005</v>
      </c>
      <c r="B10" s="1" t="s">
        <v>105</v>
      </c>
      <c r="C10" s="26">
        <f>AVERAGE('Financial Statements'!B51+'Financial Statements'!B88)/'Financial Statements'!B12*365</f>
        <v>120.11172197221153</v>
      </c>
      <c r="D10" s="26">
        <f>AVERAGE('Financial Statements'!C51+'Financial Statements'!C88)/'Financial Statements'!C12*365</f>
        <v>114.97497429348157</v>
      </c>
      <c r="E10" s="26">
        <f>AVERAGE('Financial Statements'!D51+'Financial Statements'!D88)/'Financial Statements'!D12*365</f>
        <v>82.304153716405509</v>
      </c>
      <c r="F10" t="s">
        <v>232</v>
      </c>
      <c r="I10" t="s">
        <v>168</v>
      </c>
    </row>
    <row r="11" spans="1:10" x14ac:dyDescent="0.3">
      <c r="A11" s="17">
        <f t="shared" si="0"/>
        <v>1.7000000000000006</v>
      </c>
      <c r="B11" s="1" t="s">
        <v>106</v>
      </c>
      <c r="C11" s="26">
        <f>AVERAGE('Financial Statements'!B38+'Financial Statements'!B84)/'Financial Statements'!B8*365</f>
        <v>24.400410318313686</v>
      </c>
      <c r="D11" s="26">
        <f>AVERAGE('Financial Statements'!C38+'Financial Statements'!C84)/'Financial Statements'!C8*365</f>
        <v>16.116924582509835</v>
      </c>
      <c r="E11" s="26">
        <f>AVERAGE('Financial Statements'!D38+'Financial Statements'!D84)/'Financial Statements'!D8*365</f>
        <v>30.63040271023441</v>
      </c>
      <c r="F11" t="s">
        <v>233</v>
      </c>
      <c r="J11" t="s">
        <v>170</v>
      </c>
    </row>
    <row r="12" spans="1:10" x14ac:dyDescent="0.3">
      <c r="A12" s="17">
        <f t="shared" si="0"/>
        <v>1.8000000000000007</v>
      </c>
      <c r="B12" s="1" t="s">
        <v>107</v>
      </c>
      <c r="C12" s="26">
        <f>'Financial Statements'!L40+'Financial Statements'!M40-'Financial Statements'!N40</f>
        <v>-85.948198541937714</v>
      </c>
      <c r="D12" s="26">
        <f>'Financial Statements'!L41+'Financial Statements'!M41-'Financial Statements'!N41</f>
        <v>-77.479069704058475</v>
      </c>
      <c r="E12" s="26">
        <f>'Financial Statements'!L42+'Financial Statements'!M42-'Financial Statements'!N42</f>
        <v>-52.128833207372878</v>
      </c>
      <c r="F12" t="s">
        <v>234</v>
      </c>
      <c r="J12" t="s">
        <v>171</v>
      </c>
    </row>
    <row r="13" spans="1:10" x14ac:dyDescent="0.3">
      <c r="A13" s="17">
        <f t="shared" si="0"/>
        <v>1.9000000000000008</v>
      </c>
      <c r="B13" s="1" t="s">
        <v>108</v>
      </c>
      <c r="C13" s="26">
        <f>C14/'Financial Statements'!B8*100</f>
        <v>-4.7110527276784806</v>
      </c>
      <c r="D13" s="26">
        <f>D14/'Financial Statements'!C8*100</f>
        <v>2.5572895737486232</v>
      </c>
      <c r="E13" s="26">
        <f>E14/'Financial Statements'!D8*100</f>
        <v>13.959528623208204</v>
      </c>
      <c r="J13" t="s">
        <v>172</v>
      </c>
    </row>
    <row r="14" spans="1:10" x14ac:dyDescent="0.3">
      <c r="A14" s="17"/>
      <c r="B14" s="3" t="s">
        <v>109</v>
      </c>
      <c r="C14" s="26">
        <f>'Financial Statements'!B42-'Financial Statements'!B56</f>
        <v>-18577</v>
      </c>
      <c r="D14" s="26">
        <f>'Financial Statements'!C42-'Financial Statements'!C56</f>
        <v>9355</v>
      </c>
      <c r="E14" s="26">
        <f>'Financial Statements'!D42-'Financial Statements'!D56</f>
        <v>38321</v>
      </c>
      <c r="I14" t="s">
        <v>173</v>
      </c>
    </row>
    <row r="15" spans="1:10" x14ac:dyDescent="0.3">
      <c r="A15" s="17"/>
      <c r="C15" s="26"/>
      <c r="D15" s="26"/>
      <c r="E15" s="26"/>
      <c r="J15" t="s">
        <v>174</v>
      </c>
    </row>
    <row r="16" spans="1:10" x14ac:dyDescent="0.3">
      <c r="A16" s="17">
        <f>+A4+1</f>
        <v>2</v>
      </c>
      <c r="B16" s="16" t="s">
        <v>110</v>
      </c>
      <c r="C16" s="26"/>
      <c r="D16" s="26"/>
      <c r="E16" s="26"/>
      <c r="I16" t="s">
        <v>175</v>
      </c>
    </row>
    <row r="17" spans="1:10" x14ac:dyDescent="0.3">
      <c r="A17" s="17">
        <f>+A16+0.1</f>
        <v>2.1</v>
      </c>
      <c r="B17" s="1" t="s">
        <v>9</v>
      </c>
      <c r="C17" s="26">
        <f>('Financial Statements'!B8-'Financial Statements'!B12)/'Financial Statements'!B8</f>
        <v>0.43309630561360085</v>
      </c>
      <c r="D17" s="26">
        <f>('Financial Statements'!C8-'Financial Statements'!C12)/'Financial Statements'!C8</f>
        <v>0.41779359625167778</v>
      </c>
      <c r="E17" s="26">
        <f>('Financial Statements'!D8-'Financial Statements'!D12)/'Financial Statements'!D8</f>
        <v>0.38233247727810865</v>
      </c>
      <c r="J17" t="s">
        <v>176</v>
      </c>
    </row>
    <row r="18" spans="1:10" x14ac:dyDescent="0.3">
      <c r="A18" s="17">
        <f>+A17+0.1</f>
        <v>2.2000000000000002</v>
      </c>
      <c r="B18" s="1" t="s">
        <v>111</v>
      </c>
      <c r="C18" s="26">
        <f>C19/'Financial Statements'!B8</f>
        <v>0.33746525734921184</v>
      </c>
      <c r="D18" s="26">
        <f>D19/'Financial Statements'!C8</f>
        <v>0.32748614744530735</v>
      </c>
      <c r="E18" s="26">
        <f>E19/'Financial Statements'!D8</f>
        <v>0.29560861883685774</v>
      </c>
      <c r="I18" t="s">
        <v>177</v>
      </c>
    </row>
    <row r="19" spans="1:10" x14ac:dyDescent="0.3">
      <c r="A19" s="17"/>
      <c r="B19" s="3" t="s">
        <v>112</v>
      </c>
      <c r="C19" s="26">
        <f>'Financial Statements'!B22+'Financial Statements'!B21+'Financial Statements'!B79+'Financial Statements'!B114</f>
        <v>133072</v>
      </c>
      <c r="D19" s="26">
        <f>'Financial Statements'!C22+'Financial Statements'!C21+'Financial Statements'!C80+'Financial Statements'!C114</f>
        <v>119800</v>
      </c>
      <c r="E19" s="26">
        <f>'Financial Statements'!D22+'Financial Statements'!D21+'Financial Statements'!D79+'Financial Statements'!D114</f>
        <v>81149</v>
      </c>
      <c r="F19" t="s">
        <v>235</v>
      </c>
      <c r="J19" t="s">
        <v>178</v>
      </c>
    </row>
    <row r="20" spans="1:10" x14ac:dyDescent="0.3">
      <c r="A20" s="17">
        <f>+A18+0.1</f>
        <v>2.3000000000000003</v>
      </c>
      <c r="B20" s="1" t="s">
        <v>113</v>
      </c>
      <c r="C20" s="26">
        <f>'Financial Statements'!B8-'Financial Statements'!B12-'Financial Statements'!B17</f>
        <v>119437</v>
      </c>
      <c r="D20" s="26">
        <f>'Financial Statements'!C8-'Financial Statements'!C12-'Financial Statements'!C17</f>
        <v>108949</v>
      </c>
      <c r="E20" s="26">
        <f>'Financial Statements'!D8-'Financial Statements'!D12-'Financial Statements'!D17</f>
        <v>66288</v>
      </c>
      <c r="I20" t="s">
        <v>179</v>
      </c>
    </row>
    <row r="21" spans="1:10" x14ac:dyDescent="0.3">
      <c r="A21" s="17"/>
      <c r="B21" s="3" t="s">
        <v>114</v>
      </c>
      <c r="C21" s="25">
        <v>201471</v>
      </c>
      <c r="D21" s="25">
        <v>192266</v>
      </c>
      <c r="E21" s="25">
        <v>151286</v>
      </c>
      <c r="F21" t="s">
        <v>236</v>
      </c>
      <c r="J21" t="s">
        <v>180</v>
      </c>
    </row>
    <row r="22" spans="1:10" x14ac:dyDescent="0.3">
      <c r="A22" s="17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  <c r="I22" t="s">
        <v>207</v>
      </c>
    </row>
    <row r="23" spans="1:10" x14ac:dyDescent="0.3">
      <c r="A23" s="17"/>
      <c r="C23" s="26"/>
      <c r="D23" s="26"/>
      <c r="E23" s="26"/>
      <c r="I23" t="s">
        <v>181</v>
      </c>
    </row>
    <row r="24" spans="1:10" x14ac:dyDescent="0.3">
      <c r="A24" s="17">
        <f>+A16+1</f>
        <v>3</v>
      </c>
      <c r="B24" s="7" t="s">
        <v>116</v>
      </c>
      <c r="C24" s="26"/>
      <c r="D24" s="26"/>
      <c r="E24" s="26"/>
      <c r="I24" t="s">
        <v>182</v>
      </c>
    </row>
    <row r="25" spans="1:10" x14ac:dyDescent="0.3">
      <c r="A25" s="17">
        <f>+A24+0.1</f>
        <v>3.1</v>
      </c>
      <c r="B25" s="1" t="s">
        <v>117</v>
      </c>
      <c r="C25" s="26">
        <f>'Financial Statements'!B62/'Financial Statements'!B68</f>
        <v>5.9615369434796337</v>
      </c>
      <c r="D25" s="26">
        <f>'Financial Statements'!C62/'Financial Statements'!C68</f>
        <v>4.5635124425423994</v>
      </c>
      <c r="E25" s="26">
        <f>'Financial Statements'!D56/'Financial Statements'!D68</f>
        <v>1.6130029538254336</v>
      </c>
      <c r="F25" t="s">
        <v>237</v>
      </c>
      <c r="I25" t="s">
        <v>183</v>
      </c>
    </row>
    <row r="26" spans="1:10" x14ac:dyDescent="0.3">
      <c r="A26" s="17">
        <f t="shared" ref="A26:A30" si="1">+A25+0.1</f>
        <v>3.2</v>
      </c>
      <c r="B26" s="1" t="s">
        <v>118</v>
      </c>
      <c r="C26" s="26">
        <f>SUM('Financial Statements'!B55+'Financial Statements'!B59)/'Financial Statements'!B48</f>
        <v>0.31207778769967826</v>
      </c>
      <c r="D26" s="26">
        <f>SUM('Financial Statements'!C55+'Financial Statements'!C59)/'Financial Statements'!C48</f>
        <v>0.33822884200090025</v>
      </c>
      <c r="E26" s="26">
        <f>SUM('Financial Statements'!D59+'Financial Statements'!D55)/'Financial Statements'!D48</f>
        <v>0.33171960677765155</v>
      </c>
      <c r="F26" t="s">
        <v>238</v>
      </c>
      <c r="I26" t="s">
        <v>184</v>
      </c>
    </row>
    <row r="27" spans="1:10" x14ac:dyDescent="0.3">
      <c r="A27" s="17">
        <f t="shared" si="1"/>
        <v>3.3000000000000003</v>
      </c>
      <c r="B27" s="1" t="s">
        <v>119</v>
      </c>
      <c r="C27" s="26">
        <f>'Financial Statements'!B59/'Financial Statements'!G10</f>
        <v>5.3269634494267102</v>
      </c>
      <c r="D27" s="26">
        <f>'Financial Statements'!C59/'Financial Statements'!G11</f>
        <v>-11.662854088722609</v>
      </c>
      <c r="E27" s="26">
        <f>'Financial Statements'!D59/'Financial Statements'!G12</f>
        <v>-2.5747501370006001</v>
      </c>
      <c r="F27" t="s">
        <v>239</v>
      </c>
      <c r="I27" t="s">
        <v>185</v>
      </c>
    </row>
    <row r="28" spans="1:10" x14ac:dyDescent="0.3">
      <c r="A28" s="17">
        <f t="shared" si="1"/>
        <v>3.4000000000000004</v>
      </c>
      <c r="B28" s="1" t="s">
        <v>120</v>
      </c>
      <c r="C28" s="26">
        <f>'Financial Statements'!B22/'Financial Statements'!B114</f>
        <v>34.835253054101223</v>
      </c>
      <c r="D28" s="26">
        <f>'Financial Statements'!C22/'Financial Statements'!C114</f>
        <v>35.236323036844063</v>
      </c>
      <c r="E28" s="26">
        <f>'Financial Statements'!D22/'Financial Statements'!D114</f>
        <v>19.124250499666889</v>
      </c>
      <c r="F28" t="s">
        <v>240</v>
      </c>
      <c r="I28" t="s">
        <v>186</v>
      </c>
    </row>
    <row r="29" spans="1:10" x14ac:dyDescent="0.3">
      <c r="A29" s="17">
        <f t="shared" si="1"/>
        <v>3.5000000000000004</v>
      </c>
      <c r="B29" s="1" t="s">
        <v>121</v>
      </c>
      <c r="C29" s="26">
        <f>'Financial Statements'!B76/SUM('Financial Statements'!B105+'Financial Statements'!B105+'Financial Statements'!B114)</f>
        <v>-6.1527032858640034</v>
      </c>
      <c r="D29" s="26">
        <f>'Financial Statements'!C76/SUM('Financial Statements'!C104+'Financial Statements'!C105+'Financial Statements'!C114)</f>
        <v>6.6071179344033499</v>
      </c>
      <c r="E29" s="26">
        <f>'Financial Statements'!D76/SUM('Financial Statements'!D104+'Financial Statements'!D105+'Financial Statements'!D114)</f>
        <v>8.881652227722773</v>
      </c>
      <c r="F29" t="s">
        <v>241</v>
      </c>
      <c r="I29" t="s">
        <v>187</v>
      </c>
    </row>
    <row r="30" spans="1:10" x14ac:dyDescent="0.3">
      <c r="A30" s="17">
        <f t="shared" si="1"/>
        <v>3.6000000000000005</v>
      </c>
      <c r="B30" s="1" t="s">
        <v>122</v>
      </c>
      <c r="C30" s="26"/>
      <c r="D30" s="26"/>
      <c r="E30" s="26"/>
      <c r="I30" t="s">
        <v>188</v>
      </c>
    </row>
    <row r="31" spans="1:10" x14ac:dyDescent="0.3">
      <c r="A31" s="17"/>
      <c r="B31" s="3" t="s">
        <v>123</v>
      </c>
      <c r="C31" s="26">
        <f>'Financial Statements'!B22+'Financial Statements'!B79-'Financial Statements'!G46-'Financial Statements'!G39+'Financial Statements'!G52</f>
        <v>-32165</v>
      </c>
      <c r="D31" s="26">
        <f>'Financial Statements'!C22+'Financial Statements'!C79-'Financial Statements'!G47-'Financial Statements'!G40+'Financial Statements'!G53</f>
        <v>-53897</v>
      </c>
      <c r="E31" s="26">
        <f>'Financial Statements'!D22+'Financial Statements'!D79-'Financial Statements'!G48-'Financial Statements'!G41+'Financial Statements'!G54</f>
        <v>-282425</v>
      </c>
      <c r="F31" t="s">
        <v>242</v>
      </c>
      <c r="I31" t="s">
        <v>189</v>
      </c>
    </row>
    <row r="32" spans="1:10" x14ac:dyDescent="0.3">
      <c r="A32" s="17"/>
      <c r="C32" s="26"/>
      <c r="D32" s="26"/>
      <c r="E32" s="26"/>
      <c r="I32" t="s">
        <v>190</v>
      </c>
    </row>
    <row r="33" spans="1:11" x14ac:dyDescent="0.3">
      <c r="A33" s="17">
        <f>+A24+1</f>
        <v>4</v>
      </c>
      <c r="B33" s="16" t="s">
        <v>124</v>
      </c>
      <c r="C33" s="26"/>
      <c r="D33" s="26"/>
      <c r="E33" s="26"/>
      <c r="I33" t="s">
        <v>191</v>
      </c>
    </row>
    <row r="34" spans="1:11" x14ac:dyDescent="0.3">
      <c r="A34" s="17">
        <f>+A33+0.1</f>
        <v>4.0999999999999996</v>
      </c>
      <c r="B34" s="1" t="s">
        <v>125</v>
      </c>
      <c r="C34" s="26">
        <f>'Financial Statements'!B8/AVERAGE('Financial Statements'!B48+'Financial Statements'!F88)</f>
        <v>1.0512525892888087</v>
      </c>
      <c r="D34" s="26">
        <f>'Financial Statements'!C8/AVERAGE('Financial Statements'!C42+'Financial Statements'!F89)</f>
        <v>2.5369779602479992</v>
      </c>
      <c r="E34" s="26">
        <f>'Financial Statements'!D8/AVERAGE('Financial Statements'!D48+'Financial Statements'!F90)</f>
        <v>0.79076540179921706</v>
      </c>
      <c r="F34" t="s">
        <v>243</v>
      </c>
      <c r="I34" t="s">
        <v>192</v>
      </c>
    </row>
    <row r="35" spans="1:11" x14ac:dyDescent="0.3">
      <c r="A35" s="17">
        <f t="shared" ref="A35:A37" si="2">+A34+0.1</f>
        <v>4.1999999999999993</v>
      </c>
      <c r="B35" s="1" t="s">
        <v>126</v>
      </c>
      <c r="C35" s="26">
        <f>'Financial Statements'!B22/AVERAGE('Financial Statements'!B45+'Financial Statements'!B96)</f>
        <v>3.1775287338024132</v>
      </c>
      <c r="D35" s="26">
        <f>'Financial Statements'!C22/AVERAGE('Financial Statements'!C45+'Financial Statements'!C96)</f>
        <v>3.3390936342796684</v>
      </c>
      <c r="E35" s="26">
        <f>'Financial Statements'!D22/AVERAGE('Financial Statements'!D45+'Financial Statements'!D96)</f>
        <v>1.9489764741827069</v>
      </c>
      <c r="F35" t="s">
        <v>244</v>
      </c>
      <c r="J35" t="s">
        <v>193</v>
      </c>
    </row>
    <row r="36" spans="1:11" x14ac:dyDescent="0.3">
      <c r="A36" s="17">
        <f t="shared" si="2"/>
        <v>4.2999999999999989</v>
      </c>
      <c r="B36" s="1" t="s">
        <v>127</v>
      </c>
      <c r="C36" s="26">
        <f>'Financial Statements'!B12/(AVERAGE('Financial Statements'!B85+'Financial Statements'!B39))</f>
        <v>34.76609642301711</v>
      </c>
      <c r="D36" s="26">
        <f>'Financial Statements'!C12/(AVERAGE('Financial Statements'!C85+'Financial Statements'!C39))</f>
        <v>54.083544946673442</v>
      </c>
      <c r="E36" s="26">
        <f>'Financial Statements'!D12/AVERAGE('Financial Statements'!D85+'Financial Statements'!D39)</f>
        <v>43.10091509913574</v>
      </c>
      <c r="F36" t="s">
        <v>245</v>
      </c>
      <c r="I36" t="s">
        <v>194</v>
      </c>
      <c r="K36" t="s">
        <v>169</v>
      </c>
    </row>
    <row r="37" spans="1:11" x14ac:dyDescent="0.3">
      <c r="A37" s="17">
        <f t="shared" si="2"/>
        <v>4.3999999999999986</v>
      </c>
      <c r="B37" s="1" t="s">
        <v>128</v>
      </c>
      <c r="C37" s="26">
        <f>'Financial Statements'!B22/AVERAGE('Financial Statements'!B48+'Financial Statements'!F88)</f>
        <v>0.26606825325310646</v>
      </c>
      <c r="D37" s="26">
        <f>'Financial Statements'!C22/(AVERAGE('Financial Statements'!C48+'Financial Statements'!F89))</f>
        <v>0.26273726273726272</v>
      </c>
      <c r="E37" s="26">
        <f>'Financial Statements'!D22/(AVERAGE('Financial Statements'!F90))</f>
        <v>2.4679104156815543</v>
      </c>
      <c r="F37" t="s">
        <v>246</v>
      </c>
      <c r="J37" t="s">
        <v>195</v>
      </c>
    </row>
    <row r="38" spans="1:11" x14ac:dyDescent="0.3">
      <c r="A38" s="17"/>
      <c r="J38" t="s">
        <v>196</v>
      </c>
    </row>
    <row r="39" spans="1:11" x14ac:dyDescent="0.3">
      <c r="A39" s="17">
        <f>+A33+1</f>
        <v>5</v>
      </c>
      <c r="B39" s="16" t="s">
        <v>129</v>
      </c>
      <c r="I39" t="s">
        <v>197</v>
      </c>
    </row>
    <row r="40" spans="1:11" x14ac:dyDescent="0.3">
      <c r="A40" s="17">
        <f>+A39+0.1</f>
        <v>5.0999999999999996</v>
      </c>
      <c r="B40" s="1" t="s">
        <v>130</v>
      </c>
      <c r="C40" s="26">
        <f>SUM(150.43/C41)</f>
        <v>24.620294599018003</v>
      </c>
      <c r="D40" s="26">
        <f>SUM(146.92/D41)</f>
        <v>26.188948306595361</v>
      </c>
      <c r="E40" s="26">
        <f>SUM(112.28/E41)</f>
        <v>34.231707317073173</v>
      </c>
      <c r="J40" t="s">
        <v>198</v>
      </c>
    </row>
    <row r="41" spans="1:11" x14ac:dyDescent="0.3">
      <c r="A41" s="17">
        <f t="shared" ref="A41:A44" si="3">+A40+0.1</f>
        <v>5.1999999999999993</v>
      </c>
      <c r="B41" s="3" t="s">
        <v>131</v>
      </c>
      <c r="C41">
        <v>6.11</v>
      </c>
      <c r="D41">
        <v>5.61</v>
      </c>
      <c r="E41">
        <v>3.28</v>
      </c>
      <c r="I41" t="s">
        <v>199</v>
      </c>
    </row>
    <row r="42" spans="1:11" x14ac:dyDescent="0.3">
      <c r="A42" s="17">
        <f t="shared" si="3"/>
        <v>5.2999999999999989</v>
      </c>
      <c r="B42" s="1" t="s">
        <v>132</v>
      </c>
      <c r="C42" s="27">
        <f>SUM(150.43/C43)</f>
        <v>14116.130091174613</v>
      </c>
      <c r="D42" s="27">
        <f>146.92/D43</f>
        <v>11073.110526549373</v>
      </c>
      <c r="E42" s="27">
        <f>112.28/E43</f>
        <v>8171.0743672232511</v>
      </c>
      <c r="I42" t="s">
        <v>200</v>
      </c>
    </row>
    <row r="43" spans="1:11" x14ac:dyDescent="0.3">
      <c r="A43" s="17">
        <f t="shared" si="3"/>
        <v>5.3999999999999986</v>
      </c>
      <c r="B43" s="3" t="s">
        <v>133</v>
      </c>
      <c r="C43" s="32">
        <f>'Financial Statements'!B68/4754986</f>
        <v>1.0656603405351772E-2</v>
      </c>
      <c r="D43" s="32">
        <f>'Financial Statements'!C68/4754986</f>
        <v>1.3268177866349134E-2</v>
      </c>
      <c r="E43" s="32">
        <f>'Financial Statements'!D68/4754986</f>
        <v>1.3741155073853003E-2</v>
      </c>
      <c r="F43" s="37" t="s">
        <v>247</v>
      </c>
      <c r="I43" t="s">
        <v>201</v>
      </c>
    </row>
    <row r="44" spans="1:11" x14ac:dyDescent="0.3">
      <c r="A44" s="17">
        <f t="shared" si="3"/>
        <v>5.4999999999999982</v>
      </c>
      <c r="B44" s="1" t="s">
        <v>134</v>
      </c>
      <c r="C44" s="31">
        <f>C45/'Financial Statements'!B25</f>
        <v>-397539.918729458</v>
      </c>
      <c r="D44">
        <f>D45/'Financial Statements'!C25</f>
        <v>-459676.98374115478</v>
      </c>
      <c r="E44">
        <f>E45/'Financial Statements'!D25</f>
        <v>-74053.929982835019</v>
      </c>
      <c r="I44" t="s">
        <v>202</v>
      </c>
    </row>
    <row r="45" spans="1:11" x14ac:dyDescent="0.3">
      <c r="A45" s="17"/>
      <c r="B45" s="3" t="s">
        <v>135</v>
      </c>
      <c r="C45" s="31">
        <f>'Financial Statements'!B102/('Financial Statements'!B25/1000)</f>
        <v>-2428968.9034369886</v>
      </c>
      <c r="D45" s="31">
        <f>'Financial Statements'!C102/('Financial Statements'!C25/1000)</f>
        <v>-2578787.8787878784</v>
      </c>
      <c r="E45">
        <f>'Financial Statements'!B102/('Financial Statements'!B25/100)</f>
        <v>-242896.89034369885</v>
      </c>
      <c r="F45" s="37" t="s">
        <v>249</v>
      </c>
      <c r="I45" t="s">
        <v>203</v>
      </c>
    </row>
    <row r="46" spans="1:11" x14ac:dyDescent="0.3">
      <c r="A46" s="17">
        <f>+A44+0.1</f>
        <v>5.5999999999999979</v>
      </c>
      <c r="B46" s="1" t="s">
        <v>136</v>
      </c>
      <c r="C46" s="31">
        <f>C45/150.43</f>
        <v>-16146.838419444182</v>
      </c>
      <c r="D46" s="31">
        <f>D45/146.92</f>
        <v>-17552.326972419538</v>
      </c>
      <c r="E46" s="31">
        <f>E45/112.28</f>
        <v>-2163.3139503357575</v>
      </c>
      <c r="F46" s="38"/>
      <c r="J46" t="s">
        <v>204</v>
      </c>
    </row>
    <row r="47" spans="1:11" x14ac:dyDescent="0.3">
      <c r="A47" s="17">
        <f t="shared" ref="A47:A50" si="4">+A45+0.1</f>
        <v>0.1</v>
      </c>
      <c r="B47" s="1" t="s">
        <v>137</v>
      </c>
      <c r="C47" s="28">
        <f>'Financial Statements'!B22/Ratios!O56</f>
        <v>1.7545929220653644</v>
      </c>
      <c r="D47" s="28">
        <f>'Financial Statements'!C22/Ratios!P56</f>
        <v>1.4744333444938449</v>
      </c>
      <c r="E47" s="28">
        <f>'Financial Statements'!D22/Ratios!Q56</f>
        <v>0.73704481118450194</v>
      </c>
      <c r="F47" s="38" t="s">
        <v>250</v>
      </c>
    </row>
    <row r="48" spans="1:11" x14ac:dyDescent="0.3">
      <c r="A48" s="17">
        <f t="shared" si="4"/>
        <v>5.6999999999999975</v>
      </c>
      <c r="B48" s="1" t="s">
        <v>138</v>
      </c>
      <c r="C48" s="33">
        <f>K63/K68</f>
        <v>0.503530187701549</v>
      </c>
      <c r="D48" s="33">
        <f t="shared" ref="D48:E48" si="5">L63/L68</f>
        <v>0.41884694995144572</v>
      </c>
      <c r="E48" s="33">
        <f t="shared" si="5"/>
        <v>0.25969595782073812</v>
      </c>
      <c r="F48" s="37" t="s">
        <v>248</v>
      </c>
    </row>
    <row r="49" spans="1:19" x14ac:dyDescent="0.3">
      <c r="A49" s="17">
        <f t="shared" si="4"/>
        <v>0.2</v>
      </c>
      <c r="B49" s="1" t="s">
        <v>128</v>
      </c>
      <c r="C49" s="29">
        <f>'Financial Statements'!B22/'Financial Statements'!B48</f>
        <v>0.28292440929256851</v>
      </c>
      <c r="D49" s="29">
        <f>'Financial Statements'!C22/'Financial Statements'!C48</f>
        <v>0.26974205275183616</v>
      </c>
      <c r="E49" s="29">
        <f>'Financial Statements'!D22/'Financial Statements'!D48</f>
        <v>0.1772557180259843</v>
      </c>
      <c r="F49" s="29"/>
    </row>
    <row r="50" spans="1:19" x14ac:dyDescent="0.3">
      <c r="A50" s="17">
        <f t="shared" si="4"/>
        <v>5.7999999999999972</v>
      </c>
      <c r="B50" s="1" t="s">
        <v>139</v>
      </c>
      <c r="C50" s="33">
        <f>C51/Q67</f>
        <v>2.5211159712274305</v>
      </c>
      <c r="D50" s="33">
        <f t="shared" ref="D50:E50" si="6">D51/R67</f>
        <v>2.6287458518044131</v>
      </c>
      <c r="E50" s="33">
        <f t="shared" si="6"/>
        <v>3.6961108812577574</v>
      </c>
      <c r="F50" s="26"/>
    </row>
    <row r="51" spans="1:19" x14ac:dyDescent="0.3">
      <c r="A51" s="17"/>
      <c r="B51" s="3" t="s">
        <v>140</v>
      </c>
      <c r="C51" s="30">
        <f>'Financial Statements'!B48-'Financial Statements'!B62+Ratios!Q61</f>
        <v>329109</v>
      </c>
      <c r="D51" s="30">
        <f>'Financial Statements'!C48-'Financial Statements'!C62+Ratios!R61</f>
        <v>316062</v>
      </c>
      <c r="E51" s="30">
        <f>'Financial Statements'!D48-'Financial Statements'!D62+Ratios!S61</f>
        <v>285872</v>
      </c>
      <c r="F51" s="39" t="s">
        <v>251</v>
      </c>
      <c r="J51" t="s">
        <v>217</v>
      </c>
    </row>
    <row r="53" spans="1:19" x14ac:dyDescent="0.3">
      <c r="B53" s="16" t="s">
        <v>149</v>
      </c>
      <c r="O53">
        <v>2022</v>
      </c>
      <c r="P53">
        <v>2021</v>
      </c>
      <c r="Q53">
        <v>2020</v>
      </c>
    </row>
    <row r="54" spans="1:19" x14ac:dyDescent="0.3">
      <c r="B54" s="1" t="s">
        <v>145</v>
      </c>
      <c r="C54" s="29">
        <f>((VALUE('Financial Statements'!B8-'Financial Statements'!C8)/'Financial Statements'!C8))*100</f>
        <v>7.7937876041846055</v>
      </c>
      <c r="D54" s="29">
        <f>(('Financial Statements'!C8-'Financial Statements'!D8)/'Financial Statements'!D8)*100</f>
        <v>33.25938473307469</v>
      </c>
      <c r="E54" s="29">
        <f>(('Financial Statements'!D8-260174)/260174)*100</f>
        <v>5.5120803769784832</v>
      </c>
      <c r="F54" t="s">
        <v>252</v>
      </c>
      <c r="K54" s="34"/>
      <c r="L54" s="34"/>
      <c r="M54" s="34"/>
      <c r="N54" t="s">
        <v>218</v>
      </c>
      <c r="O54" s="2">
        <v>63090</v>
      </c>
      <c r="P54" s="2">
        <v>65339</v>
      </c>
      <c r="Q54" s="2">
        <v>90448</v>
      </c>
    </row>
    <row r="55" spans="1:19" x14ac:dyDescent="0.3">
      <c r="B55" s="1" t="s">
        <v>4</v>
      </c>
      <c r="C55" s="29">
        <f>(('Financial Statements'!B10-'Financial Statements'!C10)/'Financial Statements'!C10)*100</f>
        <v>4.7876379599097083</v>
      </c>
      <c r="D55" s="29">
        <f>(('Financial Statements'!C10-'Financial Statements'!D10)/'Financial Statements'!D10)*100</f>
        <v>27.087767539626935</v>
      </c>
      <c r="E55" s="29">
        <f>(('Financial Statements'!D10-213833)/213833)*100</f>
        <v>-29.250396337328667</v>
      </c>
      <c r="N55" t="s">
        <v>219</v>
      </c>
      <c r="O55" s="2">
        <v>50672</v>
      </c>
      <c r="P55" s="2">
        <v>63090</v>
      </c>
      <c r="Q55" s="2">
        <v>65339</v>
      </c>
    </row>
    <row r="56" spans="1:19" x14ac:dyDescent="0.3">
      <c r="B56" s="1" t="s">
        <v>5</v>
      </c>
      <c r="C56" s="29">
        <f>(('Financial Statements'!B11-'Financial Statements'!C11)/'Financial Statements'!C11)*100</f>
        <v>6.5652908520395847</v>
      </c>
      <c r="D56" s="29">
        <f>(('Financial Statements'!C11-'Financial Statements'!D11)/'Financial Statements'!D11)*100</f>
        <v>13.363979642094895</v>
      </c>
      <c r="E56" s="29">
        <f>(('Financial Statements'!D11-16786)/16786)*100</f>
        <v>8.8585726200405102</v>
      </c>
      <c r="N56" t="s">
        <v>220</v>
      </c>
      <c r="O56">
        <f>SUM(O54+O55)/2</f>
        <v>56881</v>
      </c>
      <c r="P56">
        <f t="shared" ref="P56:Q56" si="7">SUM(P54+P55)/2</f>
        <v>64214.5</v>
      </c>
      <c r="Q56">
        <f t="shared" si="7"/>
        <v>77893.5</v>
      </c>
    </row>
    <row r="57" spans="1:19" x14ac:dyDescent="0.3">
      <c r="B57" s="1" t="s">
        <v>89</v>
      </c>
      <c r="C57" s="29">
        <f>(('Financial Statements'!B13-'Financial Statements'!C13)/'Financial Statements'!C13)*100</f>
        <v>11.741997958596142</v>
      </c>
      <c r="D57" s="29">
        <f>(('Financial Statements'!C13-'Financial Statements'!D13)/'Financial Statements'!D13)*100</f>
        <v>45.61911658218682</v>
      </c>
      <c r="E57" s="29">
        <f>(('Financial Statements'!D13-98392)/98392)*100</f>
        <v>6.6712740873241723</v>
      </c>
    </row>
    <row r="58" spans="1:19" x14ac:dyDescent="0.3">
      <c r="B58" s="1" t="s">
        <v>90</v>
      </c>
      <c r="J58" t="s">
        <v>221</v>
      </c>
      <c r="P58" t="s">
        <v>227</v>
      </c>
    </row>
    <row r="59" spans="1:19" x14ac:dyDescent="0.3">
      <c r="B59" s="1" t="s">
        <v>208</v>
      </c>
      <c r="C59" s="29">
        <f>(('Financial Statements'!B15-'Financial Statements'!C15)/'Financial Statements'!C15)*100</f>
        <v>19.791001186456146</v>
      </c>
      <c r="D59" s="29">
        <f>(('Financial Statements'!C15-'Financial Statements'!D15)/'Financial Statements'!D15)*100</f>
        <v>16.862201365187712</v>
      </c>
      <c r="E59" s="29">
        <f>(('Financial Statements'!D15-16217)/16217)*100</f>
        <v>15.631744465684157</v>
      </c>
    </row>
    <row r="60" spans="1:19" x14ac:dyDescent="0.3">
      <c r="B60" s="1" t="s">
        <v>209</v>
      </c>
      <c r="C60" s="29">
        <f>(('Financial Statements'!B16-'Financial Statements'!C16)/'Financial Statements'!C16)*100</f>
        <v>14.203795567287125</v>
      </c>
      <c r="D60" s="29">
        <f>(('Financial Statements'!C16-'Financial Statements'!D16)/'Financial Statements'!D16)*100</f>
        <v>10.328379192608958</v>
      </c>
      <c r="E60" s="29">
        <f>(('Financial Statements'!D16-18245)/'Financial Statements'!D16)*100</f>
        <v>8.3902390038160277</v>
      </c>
      <c r="K60">
        <v>2022</v>
      </c>
      <c r="L60">
        <v>2021</v>
      </c>
      <c r="M60">
        <v>2020</v>
      </c>
      <c r="Q60">
        <v>2022</v>
      </c>
      <c r="R60">
        <v>2021</v>
      </c>
      <c r="S60">
        <v>2020</v>
      </c>
    </row>
    <row r="61" spans="1:19" x14ac:dyDescent="0.3">
      <c r="B61" s="10" t="s">
        <v>91</v>
      </c>
      <c r="J61" t="s">
        <v>222</v>
      </c>
      <c r="K61" s="2">
        <v>119437</v>
      </c>
      <c r="L61" s="2">
        <v>108949</v>
      </c>
      <c r="M61" s="2">
        <v>66288</v>
      </c>
      <c r="P61" t="s">
        <v>228</v>
      </c>
      <c r="Q61">
        <f>'Financial Statements'!B62-'Financial Statements'!B36</f>
        <v>278437</v>
      </c>
      <c r="R61">
        <f>'Financial Statements'!C62-'Financial Statements'!C36</f>
        <v>252972</v>
      </c>
      <c r="S61">
        <f>'Financial Statements'!D62-'Financial Statements'!D36</f>
        <v>220533</v>
      </c>
    </row>
    <row r="62" spans="1:19" x14ac:dyDescent="0.3">
      <c r="B62" t="s">
        <v>25</v>
      </c>
      <c r="J62" t="s">
        <v>223</v>
      </c>
      <c r="K62">
        <v>0.16200000000000001</v>
      </c>
      <c r="L62">
        <v>0.13300000000000001</v>
      </c>
      <c r="M62">
        <v>0.14399999999999999</v>
      </c>
    </row>
    <row r="63" spans="1:19" x14ac:dyDescent="0.3">
      <c r="B63" s="1" t="s">
        <v>26</v>
      </c>
      <c r="C63" s="29">
        <f>(('Financial Statements'!B36-'Financial Statements'!C36)/'Financial Statements'!C36)*100</f>
        <v>-32.323983972524331</v>
      </c>
      <c r="D63" s="29">
        <f>(('Financial Statements'!C36-'Financial Statements'!D36)/'Financial Statements'!C36)*100</f>
        <v>-8.8036634230108746</v>
      </c>
      <c r="E63" s="29">
        <f>(('Financial Statements'!D36-48844)/48844)*100</f>
        <v>-22.168536565391861</v>
      </c>
      <c r="J63" t="s">
        <v>224</v>
      </c>
      <c r="K63">
        <f>K61*(1-K62)</f>
        <v>100088.20599999999</v>
      </c>
      <c r="L63">
        <f t="shared" ref="L63:M63" si="8">L61*(1-L62)</f>
        <v>94458.782999999996</v>
      </c>
      <c r="M63">
        <f t="shared" si="8"/>
        <v>56742.527999999998</v>
      </c>
    </row>
    <row r="64" spans="1:19" x14ac:dyDescent="0.3">
      <c r="B64" s="1" t="s">
        <v>27</v>
      </c>
      <c r="C64" s="29">
        <f>(('Financial Statements'!B37-'Financial Statements'!C37)/'Financial Statements'!C37)*100</f>
        <v>-10.978735694429401</v>
      </c>
      <c r="D64" s="29">
        <f>(('Financial Statements'!C37-'Financial Statements'!D37)/'Financial Statements'!D37)*100</f>
        <v>-47.665652691442936</v>
      </c>
      <c r="E64" s="29">
        <f>(('Financial Statements'!D37-51713)/51713)*100</f>
        <v>2.3475721772088254</v>
      </c>
    </row>
    <row r="65" spans="2:19" x14ac:dyDescent="0.3">
      <c r="B65" s="1" t="s">
        <v>28</v>
      </c>
      <c r="C65" s="29">
        <f>(('Financial Statements'!B38-'Financial Statements'!C38)/'Financial Statements'!C38)*100</f>
        <v>7.2532156176269122</v>
      </c>
      <c r="D65" s="29">
        <f>(('Financial Statements'!C38-'Financial Statements'!D38)/'Financial Statements'!D38)*100</f>
        <v>63.014888337468975</v>
      </c>
      <c r="E65" s="29">
        <f>(('Financial Statements'!D38-22926)/22926)*100</f>
        <v>-29.686818459391084</v>
      </c>
      <c r="J65" t="s">
        <v>225</v>
      </c>
      <c r="P65" t="s">
        <v>229</v>
      </c>
    </row>
    <row r="66" spans="2:19" x14ac:dyDescent="0.3">
      <c r="B66" s="1" t="s">
        <v>29</v>
      </c>
      <c r="C66" s="29">
        <f>(('Financial Statements'!B39-'Financial Statements'!C39)/'Financial Statements'!C39)*100</f>
        <v>-24.832826747720365</v>
      </c>
      <c r="D66" s="29">
        <f>(('Financial Statements'!C39-'Financial Statements'!D39)/'Financial Statements'!D39)*100</f>
        <v>62.029056882541248</v>
      </c>
      <c r="E66" s="29">
        <f>(('Financial Statements'!D39-'Financial Statements'!E39)/'Financial Statements'!E39)*100</f>
        <v>-1.0959571358986848</v>
      </c>
      <c r="Q66">
        <v>2022</v>
      </c>
      <c r="R66">
        <v>2021</v>
      </c>
      <c r="S66">
        <v>2020</v>
      </c>
    </row>
    <row r="67" spans="2:19" x14ac:dyDescent="0.3">
      <c r="B67" s="1" t="s">
        <v>47</v>
      </c>
      <c r="C67" s="29">
        <f>(('Financial Statements'!B40-'Financial Statements'!C40)/'Financial Statements'!C40)*100</f>
        <v>29.808149674964323</v>
      </c>
      <c r="D67" s="29">
        <f>(('Financial Statements'!C40-'Financial Statements'!D40)/'Financial Statements'!D40)*100</f>
        <v>18.302461899179367</v>
      </c>
      <c r="E67" s="29">
        <f>(('Financial Statements'!D40-'Financial Statements'!E40)/'Financial Statements'!E40)*100</f>
        <v>-6.7881807850336564</v>
      </c>
      <c r="K67">
        <v>2022</v>
      </c>
      <c r="L67">
        <v>2021</v>
      </c>
      <c r="M67">
        <v>2020</v>
      </c>
      <c r="P67" t="s">
        <v>230</v>
      </c>
      <c r="Q67">
        <f>'Financial Statements'!B18+'Financial Statements'!B79</f>
        <v>130541</v>
      </c>
      <c r="R67">
        <f>'Financial Statements'!C18+'Financial Statements'!C79</f>
        <v>120233</v>
      </c>
      <c r="S67">
        <f>'Financial Statements'!D18+'Financial Statements'!D79</f>
        <v>77344</v>
      </c>
    </row>
    <row r="68" spans="2:19" x14ac:dyDescent="0.3">
      <c r="B68" s="1" t="s">
        <v>30</v>
      </c>
      <c r="C68" s="29">
        <f>(('Financial Statements'!B41-'Financial Statements'!C41)/'Financial Statements'!C41)*100</f>
        <v>50.400396853518536</v>
      </c>
      <c r="D68" s="29">
        <f>(('Financial Statements'!C41-'Financial Statements'!D41)/'Financial Statements'!D41)*100</f>
        <v>25.275213068181817</v>
      </c>
      <c r="E68" s="29">
        <f>(('Financial Statements'!D41-'Financial Statements'!E41)/'Financial Statements'!E41)*100</f>
        <v>-8.8082901554404138</v>
      </c>
      <c r="J68" t="s">
        <v>226</v>
      </c>
      <c r="K68">
        <f>'Financial Statements'!B48-'Financial Statements'!B56</f>
        <v>198773</v>
      </c>
      <c r="L68">
        <f>'Financial Statements'!C48-'Financial Statements'!C56</f>
        <v>225521</v>
      </c>
      <c r="M68">
        <f>'Financial Statements'!D48-'Financial Statements'!D56</f>
        <v>218496</v>
      </c>
    </row>
    <row r="69" spans="2:19" x14ac:dyDescent="0.3">
      <c r="B69" t="s">
        <v>48</v>
      </c>
    </row>
    <row r="70" spans="2:19" x14ac:dyDescent="0.3">
      <c r="B70" s="1" t="s">
        <v>27</v>
      </c>
      <c r="C70" s="29">
        <f>(('Financial Statements'!B44-'Financial Statements'!C44)/'Financial Statements'!C44)*100</f>
        <v>-5.5303142863845727</v>
      </c>
      <c r="D70" s="29">
        <f>(('Financial Statements'!C44-'Financial Statements'!D44)/'Financial Statements'!D44)*100</f>
        <v>26.752703519779551</v>
      </c>
      <c r="E70" s="29">
        <f>(('Financial Statements'!D44-'Financial Statements'!E44)/'Financial Statements'!E44)*100</f>
        <v>-4.2281732658698887</v>
      </c>
    </row>
    <row r="71" spans="2:19" x14ac:dyDescent="0.3">
      <c r="B71" s="1" t="s">
        <v>32</v>
      </c>
      <c r="C71" s="29">
        <f>(('Financial Statements'!B45-'Financial Statements'!C45)/'Financial Statements'!C45)*100</f>
        <v>6.7875253549695742</v>
      </c>
      <c r="D71" s="29">
        <f>(('Financial Statements'!C45-'Financial Statements'!D45)/'Financial Statements'!D45)*100</f>
        <v>7.2730239895555675</v>
      </c>
      <c r="E71" s="29">
        <f>(('Financial Statements'!D45-'Financial Statements'!E45)/'Financial Statements'!E45)*100</f>
        <v>-1.6373267697576115</v>
      </c>
    </row>
    <row r="72" spans="2:19" x14ac:dyDescent="0.3">
      <c r="B72" s="1" t="s">
        <v>49</v>
      </c>
      <c r="C72" s="29">
        <f>(('Financial Statements'!B46-'Financial Statements'!C46)/'Financial Statements'!C46)*100</f>
        <v>11.420909332842024</v>
      </c>
      <c r="D72" s="29">
        <f>(('Financial Statements'!C46-'Financial Statements'!D46)/'Financial Statements'!D46)*100</f>
        <v>14.87935656836461</v>
      </c>
      <c r="E72" s="29">
        <f>(('Financial Statements'!D46-'Financial Statements'!E46)/'Financial Statements'!E46)*100</f>
        <v>31.655210848968977</v>
      </c>
    </row>
    <row r="73" spans="2:19" x14ac:dyDescent="0.3">
      <c r="B73" t="s">
        <v>34</v>
      </c>
    </row>
    <row r="74" spans="2:19" x14ac:dyDescent="0.3">
      <c r="B74" s="1" t="s">
        <v>35</v>
      </c>
      <c r="C74" s="29">
        <f>(('Financial Statements'!B51-'Financial Statements'!C51)/'Financial Statements'!C51)*100</f>
        <v>17.077223672917846</v>
      </c>
      <c r="D74" s="29">
        <f>(('Financial Statements'!C51-'Financial Statements'!D51)/'Financial Statements'!D51)*100</f>
        <v>29.475600529600911</v>
      </c>
      <c r="E74" s="29">
        <f>(('Financial Statements'!D51-'Financial Statements'!E51)/'Financial Statements'!E51)*100</f>
        <v>-8.5214983995155293</v>
      </c>
    </row>
    <row r="75" spans="2:19" x14ac:dyDescent="0.3">
      <c r="B75" s="1" t="s">
        <v>36</v>
      </c>
      <c r="C75" s="29">
        <f>(('Financial Statements'!B52-'Financial Statements'!C52)/'Financial Statements'!C52)*100</f>
        <v>28.113616743520097</v>
      </c>
      <c r="D75" s="29">
        <f>(('Financial Statements'!C52-'Financial Statements'!D52)/'Financial Statements'!D52)*100</f>
        <v>11.26651672757942</v>
      </c>
      <c r="E75" s="29">
        <f>(('Financial Statements'!D52-'Financial Statements'!E52)/'Financial Statements'!E52)*100</f>
        <v>13.160127253446447</v>
      </c>
    </row>
    <row r="76" spans="2:19" x14ac:dyDescent="0.3">
      <c r="B76" s="1" t="s">
        <v>37</v>
      </c>
      <c r="C76" s="29">
        <f>(('Financial Statements'!B53-'Financial Statements'!C53)/'Financial Statements'!C53)*100</f>
        <v>3.9411455596426697</v>
      </c>
      <c r="D76" s="29">
        <f>(('Financial Statements'!C53-'Financial Statements'!D53)/'Financial Statements'!D53)*100</f>
        <v>14.586783079933765</v>
      </c>
      <c r="E76" s="29">
        <f>(('Financial Statements'!D53-'Financial Statements'!E53)/'Financial Statements'!E53)*100</f>
        <v>20.30061571894241</v>
      </c>
    </row>
    <row r="77" spans="2:19" x14ac:dyDescent="0.3">
      <c r="B77" s="1" t="s">
        <v>38</v>
      </c>
      <c r="C77" s="29">
        <f>(('Financial Statements'!B54-'Financial Statements'!C54)/'Financial Statements'!C54)*100</f>
        <v>66.36666666666666</v>
      </c>
      <c r="D77" s="29">
        <f>(('Financial Statements'!C54-'Financial Statements'!D54)/'Financial Statements'!D54)*100</f>
        <v>20.096076861489191</v>
      </c>
      <c r="E77" s="29">
        <f>(('Financial Statements'!D54-'Financial Statements'!E54)/'Financial Statements'!E54)*100</f>
        <v>-16.454849498327757</v>
      </c>
    </row>
    <row r="78" spans="2:19" x14ac:dyDescent="0.3">
      <c r="B78" s="1" t="s">
        <v>39</v>
      </c>
      <c r="C78" s="29">
        <f>(('Financial Statements'!B55-'Financial Statements'!C55)/'Financial Statements'!C55)*100</f>
        <v>15.759908457297408</v>
      </c>
      <c r="D78" s="29">
        <f>(('Financial Statements'!C55-'Financial Statements'!D55)/'Financial Statements'!D55)*100</f>
        <v>9.5748318705117974</v>
      </c>
      <c r="E78" s="29">
        <f>(('Financial Statements'!D55-'Financial Statements'!E55)/'Financial Statements'!E55)*100</f>
        <v>-14.49317738791423</v>
      </c>
    </row>
    <row r="79" spans="2:19" x14ac:dyDescent="0.3">
      <c r="B79" t="s">
        <v>51</v>
      </c>
    </row>
    <row r="80" spans="2:19" x14ac:dyDescent="0.3">
      <c r="B80" s="1" t="s">
        <v>37</v>
      </c>
      <c r="C80" t="s">
        <v>210</v>
      </c>
      <c r="D80" t="s">
        <v>210</v>
      </c>
      <c r="E80" t="s">
        <v>210</v>
      </c>
    </row>
    <row r="81" spans="2:5" x14ac:dyDescent="0.3">
      <c r="B81" s="1" t="s">
        <v>39</v>
      </c>
      <c r="C81" s="29">
        <f>(('Financial Statements'!B59-'Financial Statements'!C59)/'Financial Statements'!C59)*100</f>
        <v>-9.3001301486627685</v>
      </c>
      <c r="D81" s="29">
        <f>(('Financial Statements'!C59-'Financial Statements'!D59)/'Financial Statements'!D59)*100</f>
        <v>10.58003182421681</v>
      </c>
      <c r="E81" s="29">
        <f>(('Financial Statements'!D59-'Financial Statements'!E59)/'Financial Statements'!E59)*100</f>
        <v>7.472197109152896</v>
      </c>
    </row>
    <row r="82" spans="2:5" x14ac:dyDescent="0.3">
      <c r="B82" s="1" t="s">
        <v>52</v>
      </c>
      <c r="C82" s="29">
        <f>(('Financial Statements'!B60-'Financial Statements'!C60)/'Financial Statements'!C60)*100</f>
        <v>-7.8443506797937168</v>
      </c>
      <c r="D82" s="29">
        <f>(('Financial Statements'!C60-'Financial Statements'!D60)/'Financial Statements'!D60)*100</f>
        <v>-2.1380069737566525</v>
      </c>
      <c r="E82" s="29">
        <f>(('Financial Statements'!D60-'Financial Statements'!E60)/'Financial Statements'!E60)*100</f>
        <v>7.8945805199691108</v>
      </c>
    </row>
    <row r="84" spans="2:5" x14ac:dyDescent="0.3">
      <c r="B84" s="10" t="s">
        <v>211</v>
      </c>
      <c r="C84" t="s">
        <v>213</v>
      </c>
      <c r="D84" t="s">
        <v>214</v>
      </c>
      <c r="E84" t="s">
        <v>212</v>
      </c>
    </row>
    <row r="85" spans="2:5" x14ac:dyDescent="0.3">
      <c r="B85" s="1" t="s">
        <v>146</v>
      </c>
      <c r="C85" s="26">
        <f>'Financial Statements'!B12/'Financial Statements'!B8*100</f>
        <v>56.690369438639912</v>
      </c>
      <c r="D85" s="26">
        <f>'Financial Statements'!C12/'Financial Statements'!C8*100</f>
        <v>58.220640374832222</v>
      </c>
      <c r="E85" s="26">
        <f>'Financial Statements'!D12/'Financial Statements'!D8*100</f>
        <v>61.76675227218913</v>
      </c>
    </row>
    <row r="86" spans="2:5" x14ac:dyDescent="0.3">
      <c r="B86" s="1" t="s">
        <v>89</v>
      </c>
      <c r="C86" s="26">
        <f>'Financial Statements'!B13/'Financial Statements'!B8*100</f>
        <v>43.309630561360088</v>
      </c>
      <c r="D86" s="26">
        <f>'Financial Statements'!C13/'Financial Statements'!C8*100</f>
        <v>41.779359625167778</v>
      </c>
      <c r="E86" s="26">
        <f>'Financial Statements'!D13/'Financial Statements'!D8*100</f>
        <v>38.233247727810863</v>
      </c>
    </row>
    <row r="87" spans="2:5" x14ac:dyDescent="0.3">
      <c r="B87" s="1" t="s">
        <v>215</v>
      </c>
    </row>
    <row r="88" spans="2:5" x14ac:dyDescent="0.3">
      <c r="B88" s="1" t="s">
        <v>11</v>
      </c>
      <c r="C88" s="26">
        <f>'Financial Statements'!B15/'Financial Statements'!B8*100</f>
        <v>6.6571483637986653</v>
      </c>
      <c r="D88" s="26">
        <f>'Financial Statements'!C15/'Financial Statements'!C8*100</f>
        <v>5.9904269074427923</v>
      </c>
      <c r="E88" s="26">
        <f>'Financial Statements'!D15/'Financial Statements'!D8*100</f>
        <v>6.8309564140393064</v>
      </c>
    </row>
    <row r="89" spans="2:5" x14ac:dyDescent="0.3">
      <c r="B89" s="1" t="s">
        <v>12</v>
      </c>
      <c r="C89" s="26">
        <f>'Financial Statements'!B16/'Financial Statements'!B8*100</f>
        <v>6.3637378020328264</v>
      </c>
      <c r="D89" s="26">
        <f>'Financial Statements'!C16/'Financial Statements'!C8*100</f>
        <v>6.0065551901633878</v>
      </c>
      <c r="E89" s="26">
        <f>'Financial Statements'!D16/'Financial Statements'!D8*100</f>
        <v>7.254976959364698</v>
      </c>
    </row>
    <row r="90" spans="2:5" x14ac:dyDescent="0.3">
      <c r="B90" s="1" t="s">
        <v>14</v>
      </c>
      <c r="C90" s="26">
        <f>'Financial Statements'!B18/'Financial Statements'!B8*100</f>
        <v>30.288744395528592</v>
      </c>
      <c r="D90" s="26">
        <f>'Financial Statements'!C18/'Financial Statements'!C8*100</f>
        <v>29.782377527561593</v>
      </c>
      <c r="E90" s="26">
        <f>'Financial Statements'!D18/'Financial Statements'!D8*100</f>
        <v>24.147314354406863</v>
      </c>
    </row>
    <row r="91" spans="2:5" x14ac:dyDescent="0.3">
      <c r="B91" s="1" t="s">
        <v>93</v>
      </c>
      <c r="C91" s="26">
        <f>'Financial Statements'!B22/'Financial Statements'!B8*100</f>
        <v>25.309640705199733</v>
      </c>
      <c r="D91" s="26">
        <f>'Financial Statements'!C22/'Financial Statements'!C8*100</f>
        <v>25.881793355694239</v>
      </c>
      <c r="E91" s="26">
        <f>'Financial Statements'!D22/'Financial Statements'!D8*100</f>
        <v>20.913611278072235</v>
      </c>
    </row>
    <row r="93" spans="2:5" x14ac:dyDescent="0.3">
      <c r="B93" s="10" t="s">
        <v>216</v>
      </c>
    </row>
    <row r="94" spans="2:5" x14ac:dyDescent="0.3">
      <c r="B94" s="1" t="s">
        <v>94</v>
      </c>
      <c r="C94" s="26">
        <f>('Financial Statements'!B113/'Financial Statements'!B20)*100</f>
        <v>16.433675054364709</v>
      </c>
      <c r="D94" s="26">
        <f>('Financial Statements'!C113/'Financial Statements'!C20)*100</f>
        <v>23.244846942045839</v>
      </c>
      <c r="E94" s="26">
        <f>('Financial Statements'!D113/'Financial Statements'!D20)*100</f>
        <v>14.161362924982487</v>
      </c>
    </row>
    <row r="95" spans="2:5" x14ac:dyDescent="0.3">
      <c r="B95" s="1" t="s">
        <v>95</v>
      </c>
      <c r="C95" s="26">
        <f>('Financial Statements'!B45/'Financial Statements'!B8) * 100</f>
        <v>10.680702359457102</v>
      </c>
      <c r="D95" s="26">
        <f>('Financial Statements'!C45/'Financial Statements'!C8) * 100</f>
        <v>10.781346957631822</v>
      </c>
      <c r="E95" s="26">
        <f>('Financial Statements'!D45/'Financial Statements'!D8) * 100</f>
        <v>13.393075059650656</v>
      </c>
    </row>
    <row r="96" spans="2:5" x14ac:dyDescent="0.3">
      <c r="B96" s="1" t="s">
        <v>96</v>
      </c>
      <c r="C96" s="26">
        <f>('Financial Statements'!B44/'Financial Statements'!C44)*100</f>
        <v>94.469685713615419</v>
      </c>
      <c r="D96" s="26">
        <f>('Financial Statements'!C44/'Financial Statements'!D44)*100</f>
        <v>126.75270351977956</v>
      </c>
      <c r="E96" s="26">
        <f>('Financial Statements'!D45/37318)*100</f>
        <v>98.52082105150329</v>
      </c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2023-11-08T19:18:42Z</dcterms:modified>
</cp:coreProperties>
</file>