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13_ncr:1_{CC3F6FD8-C610-4689-B4EE-4DCDA603B30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F84" i="3"/>
  <c r="D85" i="3"/>
  <c r="E85" i="3"/>
  <c r="F85" i="3"/>
  <c r="D86" i="3"/>
  <c r="E86" i="3"/>
  <c r="F86" i="3"/>
  <c r="K55" i="1"/>
  <c r="L55" i="1"/>
  <c r="J55" i="1"/>
  <c r="E113" i="1"/>
  <c r="K57" i="1"/>
  <c r="L57" i="1"/>
  <c r="J57" i="1"/>
  <c r="K56" i="1"/>
  <c r="L56" i="1"/>
  <c r="J56" i="1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K41" i="1"/>
  <c r="L41" i="1"/>
  <c r="J41" i="1"/>
  <c r="K40" i="1"/>
  <c r="L40" i="1"/>
  <c r="J40" i="1"/>
  <c r="J39" i="1"/>
  <c r="K39" i="1"/>
  <c r="L39" i="1"/>
  <c r="K38" i="1"/>
  <c r="L38" i="1"/>
  <c r="J38" i="1"/>
  <c r="K37" i="1"/>
  <c r="L37" i="1"/>
  <c r="J37" i="1"/>
  <c r="L35" i="1"/>
  <c r="K36" i="1"/>
  <c r="L36" i="1"/>
  <c r="J36" i="1"/>
  <c r="K35" i="1"/>
  <c r="J35" i="1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J26" i="1"/>
  <c r="K26" i="1"/>
  <c r="K25" i="1"/>
  <c r="J25" i="1"/>
  <c r="J24" i="1"/>
  <c r="K24" i="1"/>
  <c r="K23" i="1"/>
  <c r="J23" i="1"/>
  <c r="K22" i="1"/>
  <c r="J22" i="1"/>
  <c r="K21" i="1"/>
  <c r="J21" i="1"/>
  <c r="K20" i="1"/>
  <c r="J20" i="1"/>
  <c r="K19" i="1"/>
  <c r="J19" i="1"/>
  <c r="D53" i="3"/>
  <c r="E53" i="3"/>
  <c r="D54" i="3"/>
  <c r="E54" i="3"/>
  <c r="D55" i="3"/>
  <c r="E55" i="3"/>
  <c r="D56" i="3"/>
  <c r="E56" i="3"/>
  <c r="D57" i="3"/>
  <c r="E57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K17" i="1"/>
  <c r="J17" i="1"/>
  <c r="J15" i="1"/>
  <c r="K13" i="1"/>
  <c r="K15" i="1"/>
  <c r="K11" i="1"/>
  <c r="K12" i="1"/>
  <c r="J12" i="1"/>
  <c r="J13" i="1"/>
  <c r="J11" i="1"/>
  <c r="K9" i="1"/>
  <c r="J9" i="1"/>
  <c r="K6" i="1"/>
  <c r="K7" i="1"/>
  <c r="J7" i="1"/>
  <c r="K5" i="1"/>
  <c r="J6" i="1"/>
  <c r="J5" i="1"/>
  <c r="F13" i="1" a="1"/>
  <c r="F13" i="1" s="1"/>
  <c r="C46" i="3"/>
  <c r="D46" i="3"/>
  <c r="E46" i="3"/>
  <c r="G53" i="1"/>
  <c r="H53" i="1"/>
  <c r="F53" i="1"/>
  <c r="F52" i="1"/>
  <c r="C44" i="3"/>
  <c r="C40" i="3"/>
  <c r="D40" i="3"/>
  <c r="E40" i="3"/>
  <c r="C41" i="3"/>
  <c r="D41" i="3"/>
  <c r="E41" i="3"/>
  <c r="C42" i="3"/>
  <c r="D42" i="3"/>
  <c r="E42" i="3"/>
  <c r="C43" i="3"/>
  <c r="D43" i="3"/>
  <c r="E43" i="3"/>
  <c r="D44" i="3"/>
  <c r="E44" i="3"/>
  <c r="C45" i="3"/>
  <c r="D45" i="3"/>
  <c r="E45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F47" i="1"/>
  <c r="J47" i="1" s="1"/>
  <c r="F48" i="1"/>
  <c r="F49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G47" i="1"/>
  <c r="H47" i="1"/>
  <c r="G48" i="1"/>
  <c r="H48" i="1"/>
  <c r="G49" i="1"/>
  <c r="H49" i="1"/>
  <c r="F50" i="1"/>
  <c r="G50" i="1"/>
  <c r="H50" i="1"/>
  <c r="F51" i="1"/>
  <c r="G51" i="1"/>
  <c r="H51" i="1"/>
  <c r="G46" i="1"/>
  <c r="H46" i="1"/>
  <c r="F46" i="1"/>
  <c r="G45" i="1"/>
  <c r="H45" i="1"/>
  <c r="F45" i="1"/>
  <c r="G43" i="1"/>
  <c r="H43" i="1"/>
  <c r="F43" i="1"/>
  <c r="G44" i="1"/>
  <c r="H44" i="1"/>
  <c r="F44" i="1"/>
  <c r="F42" i="1"/>
  <c r="G42" i="1"/>
  <c r="H42" i="1"/>
  <c r="F5" i="1"/>
  <c r="F7" i="1"/>
  <c r="F32" i="1"/>
  <c r="F18" i="1"/>
  <c r="G41" i="1"/>
  <c r="H41" i="1"/>
  <c r="F41" i="1"/>
  <c r="C34" i="3"/>
  <c r="D34" i="3"/>
  <c r="E34" i="3"/>
  <c r="C35" i="3"/>
  <c r="D35" i="3"/>
  <c r="E35" i="3"/>
  <c r="C36" i="3"/>
  <c r="D36" i="3"/>
  <c r="E36" i="3"/>
  <c r="C37" i="3"/>
  <c r="D37" i="3"/>
  <c r="E37" i="3"/>
  <c r="G38" i="1"/>
  <c r="H38" i="1"/>
  <c r="F38" i="1"/>
  <c r="G37" i="1"/>
  <c r="H37" i="1"/>
  <c r="F37" i="1"/>
  <c r="G36" i="1"/>
  <c r="H36" i="1"/>
  <c r="F36" i="1"/>
  <c r="G35" i="1"/>
  <c r="H35" i="1"/>
  <c r="F35" i="1"/>
  <c r="C30" i="3"/>
  <c r="D30" i="3"/>
  <c r="E30" i="3"/>
  <c r="G31" i="1"/>
  <c r="H31" i="1"/>
  <c r="F31" i="1"/>
  <c r="C31" i="3"/>
  <c r="D31" i="3"/>
  <c r="E31" i="3"/>
  <c r="G32" i="1"/>
  <c r="H32" i="1"/>
  <c r="K32" i="1"/>
  <c r="L32" i="1"/>
  <c r="J32" i="1"/>
  <c r="C29" i="3"/>
  <c r="D29" i="3"/>
  <c r="E29" i="3"/>
  <c r="G30" i="1"/>
  <c r="H30" i="1"/>
  <c r="F30" i="1"/>
  <c r="C28" i="3"/>
  <c r="D28" i="3"/>
  <c r="E28" i="3"/>
  <c r="G29" i="1"/>
  <c r="H29" i="1"/>
  <c r="F29" i="1"/>
  <c r="C27" i="3"/>
  <c r="D27" i="3"/>
  <c r="E27" i="3"/>
  <c r="G28" i="1"/>
  <c r="H28" i="1"/>
  <c r="F28" i="1"/>
  <c r="C26" i="3"/>
  <c r="D26" i="3"/>
  <c r="E26" i="3"/>
  <c r="G27" i="1"/>
  <c r="H27" i="1"/>
  <c r="F27" i="1"/>
  <c r="C25" i="3"/>
  <c r="D25" i="3"/>
  <c r="E25" i="3"/>
  <c r="G26" i="1"/>
  <c r="H26" i="1"/>
  <c r="F26" i="1"/>
  <c r="C22" i="3"/>
  <c r="D22" i="3"/>
  <c r="E22" i="3"/>
  <c r="G23" i="1"/>
  <c r="H23" i="1"/>
  <c r="F23" i="1"/>
  <c r="C21" i="3"/>
  <c r="D21" i="3"/>
  <c r="E21" i="3"/>
  <c r="C20" i="3"/>
  <c r="D20" i="3"/>
  <c r="E20" i="3"/>
  <c r="G21" i="1"/>
  <c r="H21" i="1"/>
  <c r="F21" i="1"/>
  <c r="H22" i="1"/>
  <c r="G22" i="1"/>
  <c r="F22" i="1"/>
  <c r="F20" i="1"/>
  <c r="C19" i="3" s="1"/>
  <c r="D19" i="3"/>
  <c r="E19" i="3"/>
  <c r="G20" i="1"/>
  <c r="H20" i="1"/>
  <c r="F19" i="1"/>
  <c r="D18" i="3"/>
  <c r="E18" i="3"/>
  <c r="G19" i="1"/>
  <c r="H19" i="1"/>
  <c r="C17" i="3"/>
  <c r="D17" i="3"/>
  <c r="E17" i="3"/>
  <c r="G18" i="1"/>
  <c r="H18" i="1"/>
  <c r="C13" i="3"/>
  <c r="D13" i="3"/>
  <c r="E13" i="3"/>
  <c r="G14" i="1"/>
  <c r="H14" i="1"/>
  <c r="F14" i="1"/>
  <c r="C14" i="3"/>
  <c r="D14" i="3"/>
  <c r="E14" i="3"/>
  <c r="F15" i="1"/>
  <c r="G15" i="1"/>
  <c r="H15" i="1"/>
  <c r="G12" i="1"/>
  <c r="H12" i="1"/>
  <c r="F12" i="1"/>
  <c r="F11" i="1"/>
  <c r="C10" i="3" s="1"/>
  <c r="F9" i="1"/>
  <c r="G9" i="1"/>
  <c r="G10" i="1" s="1"/>
  <c r="D9" i="3" s="1"/>
  <c r="F10" i="1"/>
  <c r="C9" i="3" s="1"/>
  <c r="D10" i="3"/>
  <c r="E10" i="3"/>
  <c r="G11" i="1"/>
  <c r="H11" i="1"/>
  <c r="F4" i="1"/>
  <c r="C8" i="3"/>
  <c r="D8" i="3"/>
  <c r="E8" i="3"/>
  <c r="G8" i="1"/>
  <c r="H8" i="1"/>
  <c r="G7" i="1"/>
  <c r="H7" i="1"/>
  <c r="F8" i="1"/>
  <c r="C7" i="3"/>
  <c r="D7" i="3"/>
  <c r="E7" i="3"/>
  <c r="G6" i="1"/>
  <c r="H6" i="1"/>
  <c r="F6" i="1"/>
  <c r="C6" i="3"/>
  <c r="D6" i="3"/>
  <c r="E6" i="3"/>
  <c r="G5" i="1"/>
  <c r="H5" i="1"/>
  <c r="C5" i="3"/>
  <c r="D5" i="3"/>
  <c r="E5" i="3"/>
  <c r="G4" i="1"/>
  <c r="H4" i="1"/>
  <c r="F68" i="1"/>
  <c r="G68" i="1"/>
  <c r="E68" i="1"/>
  <c r="F98" i="1"/>
  <c r="E103" i="1"/>
  <c r="E102" i="1"/>
  <c r="F102" i="1"/>
  <c r="G102" i="1"/>
  <c r="C18" i="3" l="1"/>
  <c r="F113" i="1" l="1"/>
  <c r="G113" i="1"/>
  <c r="F69" i="1"/>
  <c r="E69" i="1"/>
  <c r="E62" i="1"/>
  <c r="G62" i="1" s="1"/>
  <c r="F62" i="1"/>
  <c r="F110" i="1"/>
  <c r="G110" i="1"/>
  <c r="E110" i="1"/>
  <c r="B42" i="1" l="1"/>
  <c r="B56" i="1"/>
  <c r="D108" i="1"/>
  <c r="C108" i="1"/>
  <c r="B108" i="1"/>
  <c r="D99" i="1"/>
  <c r="C99" i="1"/>
  <c r="B99" i="1"/>
  <c r="E56" i="1" l="1"/>
  <c r="D68" i="1"/>
  <c r="G59" i="1" s="1"/>
  <c r="C68" i="1"/>
  <c r="F59" i="1" s="1"/>
  <c r="B68" i="1"/>
  <c r="E59" i="1" s="1"/>
  <c r="D61" i="1"/>
  <c r="C61" i="1"/>
  <c r="B61" i="1"/>
  <c r="D56" i="1"/>
  <c r="C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F111" i="1" l="1"/>
  <c r="B13" i="1"/>
  <c r="E111" i="1"/>
  <c r="C62" i="1"/>
  <c r="C69" i="1" s="1"/>
  <c r="F56" i="1"/>
  <c r="G111" i="1"/>
  <c r="D13" i="1"/>
  <c r="C13" i="1"/>
  <c r="B62" i="1"/>
  <c r="B18" i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B22" i="1" s="1"/>
  <c r="D18" i="1"/>
  <c r="C18" i="1"/>
  <c r="A24" i="3"/>
  <c r="A25" i="3" s="1"/>
  <c r="A26" i="3" s="1"/>
  <c r="A27" i="3" s="1"/>
  <c r="A28" i="3" s="1"/>
  <c r="A29" i="3" s="1"/>
  <c r="A30" i="3" s="1"/>
  <c r="A33" i="3"/>
  <c r="B76" i="1" l="1"/>
  <c r="B91" i="1" s="1"/>
  <c r="B109" i="1" s="1"/>
  <c r="C20" i="1"/>
  <c r="C22" i="1" s="1"/>
  <c r="D20" i="1"/>
  <c r="D22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76" i="1" l="1"/>
  <c r="D91" i="1" s="1"/>
  <c r="D109" i="1" s="1"/>
  <c r="C76" i="1"/>
  <c r="C91" i="1" s="1"/>
  <c r="C10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<sst xmlns="http://schemas.openxmlformats.org/spreadsheetml/2006/main" count="216" uniqueCount="186">
  <si>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</si>
  <si>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</si>
  <si>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</si>
  <si>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</si>
  <si>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</si>
  <si>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</si>
  <si>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</si>
  <si>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</si>
  <si>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</si>
  <si>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</si>
  <si>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</si>
  <si>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</si>
  <si>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</si>
  <si>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</si>
  <si>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</si>
  <si>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</si>
  <si>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</si>
  <si>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</si>
  <si>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</si>
  <si>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</si>
  <si>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</si>
  <si>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</si>
  <si>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</si>
  <si>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</si>
  <si>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</si>
  <si>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</si>
  <si>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</si>
  <si>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</si>
  <si>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</si>
  <si>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</si>
  <si>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</si>
  <si>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</si>
  <si>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</si>
  <si>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</si>
  <si>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</si>
  <si>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</si>
  <si>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</si>
  <si>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</si>
  <si>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</si>
  <si>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</si>
  <si>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</si>
  <si>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</si>
  <si>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</si>
  <si>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</si>
  <si>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</si>
  <si>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</si>
  <si>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</si>
  <si>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</si>
  <si>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</si>
  <si>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</si>
  <si>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</si>
  <si>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</si>
  <si>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</si>
  <si>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</si>
  <si>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</si>
  <si>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</si>
  <si>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</si>
  <si>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</si>
  <si>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</si>
  <si>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</si>
  <si>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</si>
  <si>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</si>
  <si>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</si>
  <si>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</si>
  <si>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</si>
  <si>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</si>
  <si>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</si>
  <si>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</si>
  <si>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</si>
  <si>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</si>
  <si>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</si>
  <si>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</si>
  <si>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</si>
  <si>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</si>
  <si>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</si>
  <si>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</si>
  <si>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</si>
  <si>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</si>
  <si>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</si>
  <si>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</si>
  <si>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</si>
  <si>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</si>
  <si>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</si>
  <si>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</si>
  <si>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</si>
  <si>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</si>
  <si>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</si>
  <si>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</si>
  <si>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</si>
  <si>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</si>
  <si>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</si>
  <si>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</si>
  <si>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</si>
  <si>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</si>
  <si>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</si>
  <si>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</si>
  <si>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</si>
  <si>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</si>
  <si>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</si>
  <si>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</si>
  <si>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</si>
  <si>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</si>
  <si>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</si>
  <si>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</si>
  <si>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</si>
  <si>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</si>
  <si>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</si>
  <si>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</si>
  <si>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</si>
  <si>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</si>
  <si>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</si>
  <si>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</si>
  <si>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</si>
  <si>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</si>
  <si>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</si>
  <si>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</si>
  <si>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</si>
  <si>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</si>
  <si>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</si>
  <si>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</si>
  <si>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</si>
  <si>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</si>
  <si>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</si>
  <si>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</si>
  <si>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</si>
  <si>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</si>
  <si>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</si>
  <si>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</si>
  <si>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</si>
  <si>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</si>
  <si>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</si>
  <si>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</si>
  <si>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</si>
  <si>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</si>
  <si>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</si>
  <si>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</si>
  <si>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</si>
  <si>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</si>
  <si>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</si>
  <si>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</si>
  <si>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</si>
  <si>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</si>
  <si>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</si>
  <si>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</si>
  <si>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</si>
  <si>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</si>
  <si>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</si>
  <si>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</si>
  <si>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</si>
  <si>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</si>
  <si>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Expense:</t>
  </si>
  <si>
    <t>Average Inventory</t>
  </si>
  <si>
    <t>average receivables</t>
  </si>
  <si>
    <t>?</t>
  </si>
  <si>
    <t>Not sure how to calculate net credit sales</t>
  </si>
  <si>
    <t>^</t>
  </si>
  <si>
    <t>SOLVENCY / DEBT</t>
  </si>
  <si>
    <t>NET WORKING CAPITAL:</t>
  </si>
  <si>
    <t>ASSET UTILIZATION</t>
  </si>
  <si>
    <t>INVESTOR/MARKET RATIOS</t>
  </si>
  <si>
    <t>PERCENTAGES</t>
  </si>
  <si>
    <t>NET SALES</t>
  </si>
  <si>
    <t>PRODUCTS</t>
  </si>
  <si>
    <t>SERVICES</t>
  </si>
  <si>
    <t>GROSS MARGIN</t>
  </si>
  <si>
    <t>R AND D</t>
  </si>
  <si>
    <t>SELLING,GENERAL</t>
  </si>
  <si>
    <t>TOTAL OPERATING COSTS</t>
  </si>
  <si>
    <t>OPERATING INCOME</t>
  </si>
  <si>
    <t>NET PROFIT MARGIN</t>
  </si>
  <si>
    <t>CURRENT ASSETS</t>
  </si>
  <si>
    <t>NON CURRENT ASSETS</t>
  </si>
  <si>
    <t>TOTAL ASSETS</t>
  </si>
  <si>
    <t>CURRENT LIABILITIES</t>
  </si>
  <si>
    <t>NON CURRENT LIABILITIES</t>
  </si>
  <si>
    <t>TOTAL LIABILITIES</t>
  </si>
  <si>
    <t>SHARE HOLDER EQUITY</t>
  </si>
  <si>
    <t>TOTAL LIABILITIES+SHARE HOLDER EQUITY</t>
  </si>
  <si>
    <t>COGS</t>
  </si>
  <si>
    <t>GROSS PROFIT</t>
  </si>
  <si>
    <t>SELLING</t>
  </si>
  <si>
    <t>TOTAL OPERATING EXPENSE</t>
  </si>
  <si>
    <t>NET PROFIT</t>
  </si>
  <si>
    <t>INCOME TAX RATE</t>
  </si>
  <si>
    <t>CAPEX% OF SALES</t>
  </si>
  <si>
    <t>CAPEX%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</si>
</sst>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9" formatCode="_-* #,##0_-;\-* #,##0_-;_-* &quot;-&quot;??_-;_-@_-"/>
    <numFmt numFmtId="170" formatCode="_-* #,##0.000_-;\-* #,##0.000_-;_-* &quot;-&quot;??_-;_-@_-"/>
    <numFmt numFmtId="171" formatCode="_-* #,##0.0000_-;\-* #,##0.0000_-;_-* &quot;-&quot;??_-;_-@_-"/>
    <numFmt numFmtId="173" formatCode="_-* #,##0.000000_-;\-* #,##0.000000_-;_-* &quot;-&quot;??_-;_-@_-"/>
    <numFmt numFmtId="177" formatCode="0.000000"/>
    <numFmt numFmtId="181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3" fontId="0" fillId="0" borderId="0" xfId="0" applyNumberFormat="1"/>
    <xf numFmtId="177" fontId="0" fillId="0" borderId="0" xfId="0" applyNumberFormat="1"/>
    <xf numFmtId="1" fontId="0" fillId="0" borderId="0" xfId="0" applyNumberFormat="1"/>
    <xf numFmtId="181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zoomScale="150" zoomScaleNormal="150" workbookViewId="0">
      <selection activeCell="A27" sqref="A27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34" zoomScale="130" zoomScaleNormal="130" workbookViewId="0">
      <selection activeCell="J55" sqref="J55:L57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13" bestFit="1" customWidth="1"/>
    <col min="6" max="8" width="16.7109375" bestFit="1" customWidth="1"/>
    <col min="9" max="9" width="11.7109375" bestFit="1" customWidth="1"/>
  </cols>
  <sheetData>
    <row r="1" spans="1:11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5">
      <c r="A2" s="30" t="s">
        <v>1</v>
      </c>
      <c r="B2" s="30"/>
      <c r="C2" s="30"/>
      <c r="D2" s="30"/>
    </row>
    <row r="3" spans="1:11" x14ac:dyDescent="0.25">
      <c r="B3" s="29" t="s">
        <v>23</v>
      </c>
      <c r="C3" s="29"/>
      <c r="D3" s="29"/>
      <c r="F3" t="s">
        <v>99</v>
      </c>
      <c r="J3" t="s">
        <v>160</v>
      </c>
    </row>
    <row r="4" spans="1:11" x14ac:dyDescent="0.25">
      <c r="B4" s="7">
        <v>2022</v>
      </c>
      <c r="C4" s="7">
        <v>2021</v>
      </c>
      <c r="D4" s="7">
        <v>2020</v>
      </c>
      <c r="F4">
        <f>B42/B56</f>
        <v>0.87935602862672257</v>
      </c>
      <c r="G4">
        <f t="shared" ref="G4:H4" si="0">C42/C56</f>
        <v>1.0745531195957954</v>
      </c>
      <c r="H4">
        <f t="shared" si="0"/>
        <v>1.3636044481554577</v>
      </c>
    </row>
    <row r="5" spans="1:11" x14ac:dyDescent="0.25">
      <c r="A5" t="s">
        <v>3</v>
      </c>
      <c r="F5" s="28">
        <f>(B36+B37+B38)/B56</f>
        <v>0.49673338442155579</v>
      </c>
      <c r="G5" s="28">
        <f t="shared" ref="G5:H5" si="1">(C36+C37+C38)/C56</f>
        <v>0.70860927152317876</v>
      </c>
      <c r="H5" s="28">
        <f t="shared" si="1"/>
        <v>1.0158550933657204</v>
      </c>
      <c r="J5">
        <f>(B6-C6)/C6*100</f>
        <v>6.3239764351428418</v>
      </c>
      <c r="K5">
        <f>(C6-D6)/D6*100</f>
        <v>34.720743656765436</v>
      </c>
    </row>
    <row r="6" spans="1:11" x14ac:dyDescent="0.25">
      <c r="A6" s="1" t="s">
        <v>4</v>
      </c>
      <c r="B6" s="12">
        <v>316199</v>
      </c>
      <c r="C6" s="12">
        <v>297392</v>
      </c>
      <c r="D6" s="12">
        <v>220747</v>
      </c>
      <c r="F6" s="25">
        <f>B36/B56</f>
        <v>0.15356340351469652</v>
      </c>
      <c r="G6" s="25">
        <f t="shared" ref="G6:H6" si="2">C36/C56</f>
        <v>0.27844853005634318</v>
      </c>
      <c r="H6" s="25">
        <f t="shared" si="2"/>
        <v>0.36071049035979963</v>
      </c>
      <c r="J6">
        <f>(B7-C7)/C7*100</f>
        <v>14.181951041286078</v>
      </c>
      <c r="K6">
        <f>(C7-D7)/D7*100</f>
        <v>27.259708376729652</v>
      </c>
    </row>
    <row r="7" spans="1:11" x14ac:dyDescent="0.25">
      <c r="A7" s="1" t="s">
        <v>5</v>
      </c>
      <c r="B7" s="12">
        <v>78129</v>
      </c>
      <c r="C7" s="12">
        <v>68425</v>
      </c>
      <c r="D7" s="12">
        <v>53768</v>
      </c>
      <c r="E7" t="s">
        <v>150</v>
      </c>
      <c r="F7" s="28">
        <f>((B17-B79)/365)*100</f>
        <v>11024.931506849314</v>
      </c>
      <c r="G7" s="28">
        <f t="shared" ref="G7:H7" si="3">((C17-C79)/365)*100</f>
        <v>8932.3287671232883</v>
      </c>
      <c r="H7" s="28">
        <f t="shared" si="3"/>
        <v>7564.9315068493152</v>
      </c>
      <c r="J7">
        <f>(B8-C8)/C8*100</f>
        <v>7.7937876041846055</v>
      </c>
      <c r="K7">
        <f>(C8-D8)/D8*100</f>
        <v>33.25938473307469</v>
      </c>
    </row>
    <row r="8" spans="1:11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4"/>
      <c r="F8" s="24">
        <f>B42/F7</f>
        <v>12.281708953554833</v>
      </c>
      <c r="G8" s="24">
        <f t="shared" ref="G8:H8" si="4">C42/G7</f>
        <v>15.095279575499186</v>
      </c>
      <c r="H8" s="24">
        <f t="shared" si="4"/>
        <v>18.99726387078082</v>
      </c>
    </row>
    <row r="9" spans="1:11" x14ac:dyDescent="0.25">
      <c r="A9" t="s">
        <v>7</v>
      </c>
      <c r="B9" s="12"/>
      <c r="C9" s="12"/>
      <c r="D9" s="12"/>
      <c r="E9" t="s">
        <v>151</v>
      </c>
      <c r="F9" s="28">
        <f>(C39+B39)/2</f>
        <v>5763</v>
      </c>
      <c r="G9" s="28">
        <f t="shared" ref="G9" si="5">(D39+C39)/2</f>
        <v>5320.5</v>
      </c>
      <c r="H9" s="28"/>
      <c r="J9" s="23">
        <f>(B13-C13)/C13*100</f>
        <v>11.741997958596142</v>
      </c>
      <c r="K9" s="23">
        <f>(C13-D13)/D13*100</f>
        <v>45.61911658218682</v>
      </c>
    </row>
    <row r="10" spans="1:11" x14ac:dyDescent="0.25">
      <c r="A10" s="1" t="s">
        <v>4</v>
      </c>
      <c r="B10" s="12">
        <v>201471</v>
      </c>
      <c r="C10" s="12">
        <v>192266</v>
      </c>
      <c r="D10" s="12">
        <v>151286</v>
      </c>
      <c r="F10" s="23">
        <f>F9/B12*365</f>
        <v>9.4096740715557434</v>
      </c>
      <c r="G10" s="23">
        <f>G9/C12*365</f>
        <v>9.1181020842234748</v>
      </c>
      <c r="H10" s="23"/>
    </row>
    <row r="11" spans="1:11" x14ac:dyDescent="0.25">
      <c r="A11" s="1" t="s">
        <v>5</v>
      </c>
      <c r="B11" s="12">
        <v>22075</v>
      </c>
      <c r="C11" s="12">
        <v>20715</v>
      </c>
      <c r="D11" s="12">
        <v>18273</v>
      </c>
      <c r="F11">
        <f>(B51*365)/B12</f>
        <v>104.68527730310539</v>
      </c>
      <c r="G11">
        <f t="shared" ref="G11:H11" si="6">(C51*365)/C12</f>
        <v>93.85107122231561</v>
      </c>
      <c r="H11">
        <f t="shared" si="6"/>
        <v>91.048189715674184</v>
      </c>
      <c r="J11">
        <f>(B15-C15)/C15*100</f>
        <v>19.791001186456146</v>
      </c>
      <c r="K11">
        <f>(C15-D15)/D15*100</f>
        <v>16.862201365187712</v>
      </c>
    </row>
    <row r="12" spans="1:11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t="s">
        <v>152</v>
      </c>
      <c r="F12" s="23">
        <f>(B38+C38)/2</f>
        <v>27231</v>
      </c>
      <c r="G12" s="23">
        <f t="shared" ref="G12:H12" si="7">(C38+D38)/2</f>
        <v>21199</v>
      </c>
      <c r="H12" s="23">
        <f t="shared" si="7"/>
        <v>8060</v>
      </c>
      <c r="J12">
        <f t="shared" ref="J12:K14" si="8">(B16-C16)/C16*100</f>
        <v>14.203795567287125</v>
      </c>
      <c r="K12">
        <f t="shared" si="8"/>
        <v>10.328379192608958</v>
      </c>
    </row>
    <row r="13" spans="1:11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5"/>
      <c r="F13" s="25" t="e" cm="1">
        <f t="array" ref="F13">B8-'List of Ratios'!B53PER</f>
        <v>#NAME?</v>
      </c>
      <c r="G13" s="25"/>
      <c r="J13">
        <f t="shared" si="8"/>
        <v>16.993642764372137</v>
      </c>
      <c r="K13">
        <f t="shared" si="8"/>
        <v>13.496948381090307</v>
      </c>
    </row>
    <row r="14" spans="1:11" x14ac:dyDescent="0.25">
      <c r="A14" t="s">
        <v>10</v>
      </c>
      <c r="B14" s="12"/>
      <c r="C14" s="12"/>
      <c r="D14" s="12"/>
      <c r="F14" s="23">
        <f>F15/B8*100</f>
        <v>-4.7110527276784806</v>
      </c>
      <c r="G14" s="23">
        <f t="shared" ref="G14:H14" si="9">G15/C8*100</f>
        <v>2.5572895737486232</v>
      </c>
      <c r="H14" s="23">
        <f t="shared" si="9"/>
        <v>13.959528623208204</v>
      </c>
    </row>
    <row r="15" spans="1:11" x14ac:dyDescent="0.25">
      <c r="A15" s="1" t="s">
        <v>11</v>
      </c>
      <c r="B15" s="12">
        <v>26251</v>
      </c>
      <c r="C15" s="12">
        <v>21914</v>
      </c>
      <c r="D15" s="12">
        <v>18752</v>
      </c>
      <c r="F15" s="23">
        <f>B42-B56</f>
        <v>-18577</v>
      </c>
      <c r="G15" s="23">
        <f t="shared" ref="G15:H15" si="10">C42-C56</f>
        <v>9355</v>
      </c>
      <c r="H15" s="23">
        <f t="shared" si="10"/>
        <v>38321</v>
      </c>
      <c r="J15">
        <f>(B18-C18)/C18*100</f>
        <v>9.6265225013538451</v>
      </c>
      <c r="K15">
        <f>(C18-D18)/D18*100</f>
        <v>64.357048032826455</v>
      </c>
    </row>
    <row r="16" spans="1:11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/>
      <c r="F17" s="26" t="s">
        <v>110</v>
      </c>
      <c r="J17">
        <f>(B22-C22)/C22*100</f>
        <v>5.4108576256865231</v>
      </c>
      <c r="K17">
        <f>(C22-D22)/D22*100</f>
        <v>64.916131055024294</v>
      </c>
    </row>
    <row r="18" spans="1:12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/>
      <c r="F18" s="27">
        <f>((B8-B12)/B8)*100</f>
        <v>43.309630561360088</v>
      </c>
      <c r="G18" s="27">
        <f t="shared" ref="G18:H18" si="11">((C8-C12)/C8)*100</f>
        <v>41.779359625167778</v>
      </c>
      <c r="H18" s="27">
        <f t="shared" si="11"/>
        <v>38.233247727810863</v>
      </c>
    </row>
    <row r="19" spans="1:12" x14ac:dyDescent="0.25">
      <c r="A19" t="s">
        <v>15</v>
      </c>
      <c r="B19" s="12">
        <v>-334</v>
      </c>
      <c r="C19" s="12">
        <v>258</v>
      </c>
      <c r="D19" s="12">
        <v>803</v>
      </c>
      <c r="E19" s="28"/>
      <c r="F19" s="28">
        <f t="shared" ref="F19:H19" si="12">(B22+B113+B114+B79)/B8</f>
        <v>0.33815757440506383</v>
      </c>
      <c r="G19" s="28">
        <f t="shared" si="12"/>
        <v>0.36640178012503521</v>
      </c>
      <c r="H19" s="28">
        <f t="shared" si="12"/>
        <v>0.29495655975083329</v>
      </c>
      <c r="J19">
        <f>(B42-C42)/C42*100</f>
        <v>0.42199412619775128</v>
      </c>
      <c r="K19">
        <f>(C42-D42)/D42*100</f>
        <v>-6.1768942266879128</v>
      </c>
    </row>
    <row r="20" spans="1:12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8"/>
      <c r="F20" s="28">
        <f>(B22+B113+B114+B79)</f>
        <v>133345</v>
      </c>
      <c r="G20" s="28">
        <f t="shared" ref="G20:H20" si="13">(C22+C113+C114+C79)</f>
        <v>134036</v>
      </c>
      <c r="H20" s="28">
        <f t="shared" si="13"/>
        <v>80970</v>
      </c>
      <c r="J20" s="23">
        <f>(B47-C47)/C47*100</f>
        <v>0.54772720964443988</v>
      </c>
      <c r="K20" s="23">
        <f>(C47-D47)/D47*100</f>
        <v>19.975579297904815</v>
      </c>
    </row>
    <row r="21" spans="1:12" x14ac:dyDescent="0.25">
      <c r="A21" t="s">
        <v>17</v>
      </c>
      <c r="B21" s="12">
        <v>19300</v>
      </c>
      <c r="C21" s="12">
        <v>14527</v>
      </c>
      <c r="D21" s="12">
        <v>9680</v>
      </c>
      <c r="F21">
        <f>(B22+B113+B114)/B8</f>
        <v>0.30999827554726017</v>
      </c>
      <c r="G21">
        <f t="shared" ref="G21:H21" si="14">(C22+C113+C114)/C8</f>
        <v>0.33555575602008653</v>
      </c>
      <c r="H21">
        <f t="shared" si="14"/>
        <v>0.25468189352130122</v>
      </c>
      <c r="J21" s="37">
        <f>(B48-C48)/C48*100</f>
        <v>0.49942735369029234</v>
      </c>
      <c r="K21" s="23">
        <f>(C48-D48)/D48*100</f>
        <v>8.3714123400681704</v>
      </c>
    </row>
    <row r="22" spans="1:12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5"/>
      <c r="F22" s="25">
        <f>(B22+B113+114)</f>
        <v>119490</v>
      </c>
      <c r="G22" s="25">
        <f t="shared" ref="G22:H22" si="15">(C22+C113+114)</f>
        <v>120179</v>
      </c>
      <c r="H22" s="25">
        <f t="shared" si="15"/>
        <v>67026</v>
      </c>
      <c r="J22">
        <f>(B56-C56)/C56*100</f>
        <v>22.713398841258837</v>
      </c>
      <c r="K22">
        <f>(C56-D56)/D56*100</f>
        <v>19.061219067860939</v>
      </c>
    </row>
    <row r="23" spans="1:12" ht="15.75" thickTop="1" x14ac:dyDescent="0.25">
      <c r="A23" t="s">
        <v>19</v>
      </c>
      <c r="F23">
        <f>B22/B8*100</f>
        <v>25.309640705199733</v>
      </c>
      <c r="G23">
        <f t="shared" ref="G23:H23" si="16">C22/C8*100</f>
        <v>25.881793355694239</v>
      </c>
      <c r="H23">
        <f t="shared" si="16"/>
        <v>20.913611278072235</v>
      </c>
      <c r="J23">
        <f>(B61-C61)/C61*100</f>
        <v>-8.8222075835277742</v>
      </c>
      <c r="K23">
        <f>(C61-D61)/D61*100</f>
        <v>6.0552243775994565</v>
      </c>
    </row>
    <row r="24" spans="1:12" x14ac:dyDescent="0.25">
      <c r="A24" s="1" t="s">
        <v>20</v>
      </c>
      <c r="B24" s="10">
        <v>6.15</v>
      </c>
      <c r="C24" s="10">
        <v>5.67</v>
      </c>
      <c r="D24" s="10">
        <v>3.31</v>
      </c>
      <c r="J24">
        <f>(B62-C62)/C62*100</f>
        <v>4.9219900525160467</v>
      </c>
      <c r="K24">
        <f>(C62-D62)/D62*100</f>
        <v>11.356841449783213</v>
      </c>
    </row>
    <row r="25" spans="1:12" x14ac:dyDescent="0.25">
      <c r="A25" s="1" t="s">
        <v>21</v>
      </c>
      <c r="B25" s="10">
        <v>6.11</v>
      </c>
      <c r="C25" s="10">
        <v>5.61</v>
      </c>
      <c r="D25" s="10">
        <v>3.28</v>
      </c>
      <c r="F25" t="s">
        <v>156</v>
      </c>
      <c r="J25">
        <f>(B68-C68)/C68*100</f>
        <v>-19.682992550324933</v>
      </c>
      <c r="K25">
        <f>(C68-D68)/D68*100</f>
        <v>-3.4420483937617661</v>
      </c>
    </row>
    <row r="26" spans="1:12" x14ac:dyDescent="0.25">
      <c r="A26" t="s">
        <v>22</v>
      </c>
      <c r="F26" s="37">
        <f>(B55+B59)/(B48-B62)</f>
        <v>2.1725410483107042</v>
      </c>
      <c r="G26" s="37">
        <f t="shared" ref="G26:H26" si="17">(C55+C59)/(C48-C62)</f>
        <v>1.8817403708987162</v>
      </c>
      <c r="H26" s="37">
        <f t="shared" si="17"/>
        <v>1.6443471739696047</v>
      </c>
      <c r="J26">
        <f>(B69-C69)/C69*100</f>
        <v>0.49942735369029234</v>
      </c>
      <c r="K26">
        <f>(C69-D69)/D69*100</f>
        <v>8.3714123400681704</v>
      </c>
    </row>
    <row r="27" spans="1:12" x14ac:dyDescent="0.25">
      <c r="A27" s="1" t="s">
        <v>20</v>
      </c>
      <c r="B27" s="2">
        <v>16215963</v>
      </c>
      <c r="C27" s="2">
        <v>16701272</v>
      </c>
      <c r="D27" s="2">
        <v>17352119</v>
      </c>
      <c r="F27">
        <f>(B55+B59)/B48</f>
        <v>0.31207778769967826</v>
      </c>
      <c r="G27">
        <f t="shared" ref="G27:H27" si="18">(C55+C59)/C48</f>
        <v>0.33822884200090025</v>
      </c>
      <c r="H27">
        <f t="shared" si="18"/>
        <v>0.33171960677765155</v>
      </c>
    </row>
    <row r="28" spans="1:12" x14ac:dyDescent="0.25">
      <c r="A28" s="1" t="s">
        <v>21</v>
      </c>
      <c r="B28" s="2">
        <v>16325819</v>
      </c>
      <c r="C28" s="2">
        <v>16864919</v>
      </c>
      <c r="D28" s="2">
        <v>17528214</v>
      </c>
      <c r="F28">
        <f>B59/B45</f>
        <v>2.3496212930645584</v>
      </c>
      <c r="G28">
        <f t="shared" ref="G28:H28" si="19">C59/C45</f>
        <v>2.7663793103448278</v>
      </c>
      <c r="H28">
        <f t="shared" si="19"/>
        <v>2.683647935592667</v>
      </c>
    </row>
    <row r="29" spans="1:12" x14ac:dyDescent="0.25">
      <c r="F29" s="28">
        <f>F22/B114</f>
        <v>41.706806282722511</v>
      </c>
      <c r="G29" s="28">
        <f t="shared" ref="G29:H29" si="20">G22/C114</f>
        <v>44.726088574618537</v>
      </c>
      <c r="H29" s="28">
        <f t="shared" si="20"/>
        <v>22.32711525649567</v>
      </c>
    </row>
    <row r="30" spans="1:12" x14ac:dyDescent="0.25">
      <c r="F30">
        <f>B18/B55</f>
        <v>10.733015815959741</v>
      </c>
      <c r="G30">
        <f t="shared" ref="G30:H30" si="21">C18/C55</f>
        <v>11.333506709663997</v>
      </c>
      <c r="H30">
        <f t="shared" si="21"/>
        <v>7.5559101789581673</v>
      </c>
    </row>
    <row r="31" spans="1:12" x14ac:dyDescent="0.25">
      <c r="A31" s="30" t="s">
        <v>24</v>
      </c>
      <c r="B31" s="30"/>
      <c r="C31" s="30"/>
      <c r="D31" s="30"/>
      <c r="F31" s="33">
        <f>F32/B28</f>
        <v>6.8257525089552937E-3</v>
      </c>
      <c r="G31" s="33">
        <f t="shared" ref="G31:H31" si="22">G32/C28</f>
        <v>6.2972137607064703E-3</v>
      </c>
      <c r="H31" s="33">
        <f t="shared" si="22"/>
        <v>3.2333014647128338E-3</v>
      </c>
    </row>
    <row r="32" spans="1:12" x14ac:dyDescent="0.25">
      <c r="B32" s="29" t="s">
        <v>142</v>
      </c>
      <c r="C32" s="29"/>
      <c r="D32" s="29"/>
      <c r="F32" s="23">
        <f>(B22+B113+B79-B45-J32)</f>
        <v>111436</v>
      </c>
      <c r="G32" s="23">
        <f t="shared" ref="G32:H32" si="23">(C22+C113+C79-C45-K32)</f>
        <v>106202</v>
      </c>
      <c r="H32" s="23">
        <f t="shared" si="23"/>
        <v>56674</v>
      </c>
      <c r="I32" t="s">
        <v>157</v>
      </c>
      <c r="J32" s="23">
        <f>(B38+B39)-(B51-B53)</f>
        <v>-23073</v>
      </c>
      <c r="K32" s="23">
        <f t="shared" ref="K32:L32" si="24">(C38+C39)-(C51-C53)</f>
        <v>-14293</v>
      </c>
      <c r="L32" s="23">
        <f t="shared" si="24"/>
        <v>-15472</v>
      </c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  <c r="F33" s="32"/>
      <c r="G33" s="32"/>
      <c r="H33" s="32"/>
    </row>
    <row r="34" spans="1:12" x14ac:dyDescent="0.25">
      <c r="F34" t="s">
        <v>158</v>
      </c>
    </row>
    <row r="35" spans="1:12" x14ac:dyDescent="0.25">
      <c r="A35" t="s">
        <v>25</v>
      </c>
      <c r="F35">
        <f>B8/B48</f>
        <v>1.1178523337727317</v>
      </c>
      <c r="G35">
        <f t="shared" ref="G35:H35" si="25">C8/C48</f>
        <v>1.0422077367080529</v>
      </c>
      <c r="H35">
        <f t="shared" si="25"/>
        <v>0.84756150274168851</v>
      </c>
      <c r="J35">
        <f>B12/B8*100</f>
        <v>56.690369438639912</v>
      </c>
      <c r="K35">
        <f>C12/C8*100</f>
        <v>58.220640374832222</v>
      </c>
      <c r="L35">
        <f>D12/D8*100</f>
        <v>61.76675227218913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4">
        <f>B8/B47</f>
        <v>1.8142535081665516</v>
      </c>
      <c r="G36" s="24">
        <f t="shared" ref="G36:H36" si="26">C8/C47</f>
        <v>1.6922966608994938</v>
      </c>
      <c r="H36" s="24">
        <f t="shared" si="26"/>
        <v>1.5236020535590398</v>
      </c>
      <c r="I36" s="23"/>
      <c r="J36">
        <f>B13/B8*100</f>
        <v>43.309630561360088</v>
      </c>
      <c r="K36">
        <f t="shared" ref="K36:L36" si="27">C13/C8*100</f>
        <v>41.779359625167778</v>
      </c>
      <c r="L36">
        <f t="shared" si="27"/>
        <v>38.233247727810863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F37">
        <f>B12/B39</f>
        <v>45.197331176708452</v>
      </c>
      <c r="G37">
        <f t="shared" ref="G37:H37" si="28">C12/C39</f>
        <v>32.367933130699086</v>
      </c>
      <c r="H37">
        <f t="shared" si="28"/>
        <v>41.753016498399411</v>
      </c>
      <c r="J37">
        <f>B15/B8*100</f>
        <v>6.6571483637986653</v>
      </c>
      <c r="K37">
        <f t="shared" ref="K37:L37" si="29">C15/C8*100</f>
        <v>5.9904269074427923</v>
      </c>
      <c r="L37">
        <f t="shared" si="29"/>
        <v>6.8309564140393064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F38">
        <f>B22/B48</f>
        <v>0.28292440929256851</v>
      </c>
      <c r="G38">
        <f t="shared" ref="G38:H38" si="30">C22/C48</f>
        <v>0.26974205275183616</v>
      </c>
      <c r="H38">
        <f t="shared" si="30"/>
        <v>0.1772557180259843</v>
      </c>
      <c r="J38">
        <f>B16/B8*100</f>
        <v>6.3637378020328264</v>
      </c>
      <c r="K38">
        <f t="shared" ref="K38:L38" si="31">C16/C8*100</f>
        <v>6.0065551901633878</v>
      </c>
      <c r="L38">
        <f t="shared" si="31"/>
        <v>7.254976959364698</v>
      </c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H39" s="24"/>
      <c r="I39" s="25"/>
      <c r="J39">
        <f>B17/B8*100</f>
        <v>13.020886165831492</v>
      </c>
      <c r="K39">
        <f t="shared" ref="K39:L39" si="32">C17/C8*100</f>
        <v>11.99698209760618</v>
      </c>
      <c r="L39">
        <f t="shared" si="32"/>
        <v>14.085933373404004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  <c r="F40" t="s">
        <v>159</v>
      </c>
      <c r="J40">
        <f>B18/B8*100</f>
        <v>30.288744395528592</v>
      </c>
      <c r="K40">
        <f t="shared" ref="K40:L40" si="33">C18/C8*100</f>
        <v>29.782377527561593</v>
      </c>
      <c r="L40">
        <f t="shared" si="33"/>
        <v>24.147314354406863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>
        <f>B68/B48</f>
        <v>0.14364644016385311</v>
      </c>
      <c r="G41" s="25">
        <f t="shared" ref="G41:H41" si="34">C68/C48</f>
        <v>0.17974256556942694</v>
      </c>
      <c r="H41" s="25">
        <f t="shared" si="34"/>
        <v>0.20173331522007606</v>
      </c>
      <c r="J41">
        <f>B22/B8*100</f>
        <v>25.309640705199733</v>
      </c>
      <c r="K41">
        <f t="shared" ref="K41:L41" si="35">C22/C8*100</f>
        <v>25.881793355694239</v>
      </c>
      <c r="L41">
        <f t="shared" si="35"/>
        <v>20.913611278072235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4"/>
      <c r="F42" s="24">
        <f t="shared" ref="F42:H42" si="36">B25</f>
        <v>6.11</v>
      </c>
      <c r="G42" s="24">
        <f t="shared" si="36"/>
        <v>5.61</v>
      </c>
      <c r="H42" s="24">
        <f t="shared" si="36"/>
        <v>3.28</v>
      </c>
      <c r="I42" s="24"/>
      <c r="J42" s="24"/>
    </row>
    <row r="43" spans="1:12" x14ac:dyDescent="0.25">
      <c r="A43" t="s">
        <v>48</v>
      </c>
      <c r="B43" s="12"/>
      <c r="C43" s="12"/>
      <c r="D43" s="12"/>
      <c r="E43" s="24"/>
      <c r="F43" s="24">
        <f>175.01/F44</f>
        <v>56385.806425442053</v>
      </c>
      <c r="G43" s="24">
        <f t="shared" ref="G43:H43" si="37">175.01/G44</f>
        <v>46782.84156268822</v>
      </c>
      <c r="H43" s="24">
        <f t="shared" si="37"/>
        <v>46949.183981083268</v>
      </c>
      <c r="J43" s="32"/>
      <c r="K43" s="32"/>
      <c r="L43" s="32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  <c r="F44" s="32">
        <f>(B48-B62)/B28</f>
        <v>3.103795282797145E-3</v>
      </c>
      <c r="G44" s="32">
        <f t="shared" ref="G44:H44" si="38">(C48-C62)/C28</f>
        <v>3.7409014534845971E-3</v>
      </c>
      <c r="H44" s="32">
        <f t="shared" si="38"/>
        <v>3.7276473233382478E-3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  <c r="F45">
        <f>B102/B22</f>
        <v>-0.14870294480125848</v>
      </c>
      <c r="G45">
        <f t="shared" ref="G45:H45" si="39">C102/C22</f>
        <v>-0.15279890156316012</v>
      </c>
      <c r="H45">
        <f t="shared" si="39"/>
        <v>-0.24526658654264863</v>
      </c>
      <c r="I45" s="28"/>
      <c r="J45" s="28"/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  <c r="F46" s="33">
        <f>(B102-B101)/B28</f>
        <v>-5.2787550811386557E-4</v>
      </c>
      <c r="G46" s="33">
        <f t="shared" ref="G46:H46" si="40">(C102-C101)/C28</f>
        <v>-4.6908022505177759E-4</v>
      </c>
      <c r="H46" s="33">
        <f t="shared" si="40"/>
        <v>-5.9601052337676847E-4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F47" s="28">
        <f>B22/B68</f>
        <v>1.9695887275023682</v>
      </c>
      <c r="G47" s="28">
        <f t="shared" ref="G47:H47" si="41">C22/C68</f>
        <v>1.5007132667617689</v>
      </c>
      <c r="H47" s="28">
        <f t="shared" si="41"/>
        <v>0.87866358530127486</v>
      </c>
      <c r="J47" s="28">
        <f t="shared" ref="J47:L51" si="42">F47</f>
        <v>1.9695887275023682</v>
      </c>
      <c r="K47" s="28">
        <f t="shared" si="42"/>
        <v>1.5007132667617689</v>
      </c>
      <c r="L47" s="28">
        <f t="shared" si="42"/>
        <v>0.87866358530127486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F48" s="28">
        <f>F22/(B48-B56)</f>
        <v>0.60113798151660436</v>
      </c>
      <c r="G48" s="28">
        <f t="shared" ref="G48:H48" si="43">G22/(C48-C56)</f>
        <v>0.53289494104761859</v>
      </c>
      <c r="H48" s="28">
        <f t="shared" si="43"/>
        <v>0.30676076449912126</v>
      </c>
      <c r="J48" s="28">
        <f t="shared" si="42"/>
        <v>0.60113798151660436</v>
      </c>
      <c r="K48" s="28">
        <f t="shared" si="42"/>
        <v>0.53289494104761859</v>
      </c>
      <c r="L48" s="28">
        <f t="shared" si="42"/>
        <v>0.30676076449912126</v>
      </c>
    </row>
    <row r="49" spans="1:12" ht="15.75" thickTop="1" x14ac:dyDescent="0.25">
      <c r="F49" s="25">
        <f>B22/B48</f>
        <v>0.28292440929256851</v>
      </c>
      <c r="G49" s="25">
        <f t="shared" ref="G49:H49" si="44">C22/C48</f>
        <v>0.26974205275183616</v>
      </c>
      <c r="H49" s="25">
        <f t="shared" si="44"/>
        <v>0.1772557180259843</v>
      </c>
      <c r="J49" s="28">
        <f t="shared" si="42"/>
        <v>0.28292440929256851</v>
      </c>
      <c r="K49" s="28">
        <f t="shared" si="42"/>
        <v>0.26974205275183616</v>
      </c>
      <c r="L49" s="28">
        <f t="shared" si="42"/>
        <v>0.1772557180259843</v>
      </c>
    </row>
    <row r="50" spans="1:12" x14ac:dyDescent="0.25">
      <c r="A50" t="s">
        <v>34</v>
      </c>
      <c r="F50">
        <f>F51/F20</f>
        <v>21427.63526333946</v>
      </c>
      <c r="G50">
        <f t="shared" ref="G50:H50" si="45">G51/G20</f>
        <v>22021.048473469815</v>
      </c>
      <c r="H50">
        <f t="shared" si="45"/>
        <v>37886.651304680745</v>
      </c>
      <c r="J50" s="28">
        <f t="shared" si="42"/>
        <v>21427.63526333946</v>
      </c>
      <c r="K50" s="28">
        <f t="shared" si="42"/>
        <v>22021.048473469815</v>
      </c>
      <c r="L50" s="28">
        <f t="shared" si="42"/>
        <v>37886.651304680745</v>
      </c>
    </row>
    <row r="51" spans="1:12" x14ac:dyDescent="0.25">
      <c r="A51" s="1" t="s">
        <v>35</v>
      </c>
      <c r="B51" s="12">
        <v>64115</v>
      </c>
      <c r="C51" s="12">
        <v>54763</v>
      </c>
      <c r="D51" s="12">
        <v>42296</v>
      </c>
      <c r="F51" s="23">
        <f>(175.01*B28)+(B55+B59)-B36</f>
        <v>2857268024.1900001</v>
      </c>
      <c r="G51" s="23">
        <f t="shared" ref="G51:H51" si="46">(175.01*C28)+(C55+C59)-C36</f>
        <v>2951613253.1900001</v>
      </c>
      <c r="H51" s="23">
        <f t="shared" si="46"/>
        <v>3067682156.1399999</v>
      </c>
      <c r="J51" s="28">
        <f t="shared" si="42"/>
        <v>2857268024.1900001</v>
      </c>
      <c r="K51" s="28">
        <f t="shared" si="42"/>
        <v>2951613253.1900001</v>
      </c>
      <c r="L51" s="28">
        <f t="shared" si="42"/>
        <v>3067682156.1399999</v>
      </c>
    </row>
    <row r="52" spans="1:12" x14ac:dyDescent="0.25">
      <c r="A52" s="1" t="s">
        <v>36</v>
      </c>
      <c r="B52" s="12">
        <v>60845</v>
      </c>
      <c r="C52" s="12">
        <v>47493</v>
      </c>
      <c r="D52" s="12">
        <v>42684</v>
      </c>
      <c r="F52" s="25">
        <f>F22</f>
        <v>119490</v>
      </c>
    </row>
    <row r="53" spans="1:12" x14ac:dyDescent="0.25">
      <c r="A53" s="1" t="s">
        <v>37</v>
      </c>
      <c r="B53" s="12">
        <v>7912</v>
      </c>
      <c r="C53" s="12">
        <v>7612</v>
      </c>
      <c r="D53" s="12">
        <v>6643</v>
      </c>
      <c r="F53" s="34">
        <f>F46/175.01</f>
        <v>-3.0162591172725308E-6</v>
      </c>
      <c r="G53" s="34">
        <f t="shared" ref="G53:H53" si="47">G46/175.01</f>
        <v>-2.6803052685662399E-6</v>
      </c>
      <c r="H53" s="34">
        <f t="shared" si="47"/>
        <v>-3.405579814734978E-6</v>
      </c>
    </row>
    <row r="54" spans="1:12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25">
      <c r="A55" s="1" t="s">
        <v>39</v>
      </c>
      <c r="B55" s="12">
        <v>11128</v>
      </c>
      <c r="C55" s="12">
        <v>9613</v>
      </c>
      <c r="D55" s="12">
        <v>8773</v>
      </c>
      <c r="J55">
        <f>B21/B22*100</f>
        <v>19.338096049216958</v>
      </c>
      <c r="K55">
        <f t="shared" ref="K55:L55" si="48">C21/C22*100</f>
        <v>15.343261512463032</v>
      </c>
      <c r="L55">
        <f t="shared" si="48"/>
        <v>16.860880319102613</v>
      </c>
    </row>
    <row r="56" spans="1:12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5">
        <f>(B56-C56)/C56</f>
        <v>0.22713398841258836</v>
      </c>
      <c r="F56" s="25">
        <f>(C56-D56)/D56</f>
        <v>0.19061219067860938</v>
      </c>
      <c r="J56">
        <f>B45/B8*100</f>
        <v>10.680702359457102</v>
      </c>
      <c r="K56">
        <f t="shared" ref="K56:L56" si="49">C45/C8*100</f>
        <v>10.781346957631822</v>
      </c>
      <c r="L56">
        <f t="shared" si="49"/>
        <v>13.393075059650656</v>
      </c>
    </row>
    <row r="57" spans="1:12" x14ac:dyDescent="0.25">
      <c r="A57" t="s">
        <v>51</v>
      </c>
      <c r="B57" s="12"/>
      <c r="C57" s="12"/>
      <c r="D57" s="12"/>
      <c r="J57">
        <f>B45/B47*100</f>
        <v>19.377501725327811</v>
      </c>
      <c r="K57">
        <f t="shared" ref="K57:L57" si="50">C45/C47*100</f>
        <v>18.245237456399249</v>
      </c>
      <c r="L57">
        <f t="shared" si="50"/>
        <v>20.405716664354102</v>
      </c>
    </row>
    <row r="58" spans="1:12" x14ac:dyDescent="0.25">
      <c r="A58" s="1" t="s">
        <v>37</v>
      </c>
      <c r="B58" s="12"/>
      <c r="C58" s="12"/>
      <c r="D58" s="12"/>
    </row>
    <row r="59" spans="1:12" x14ac:dyDescent="0.25">
      <c r="A59" s="1" t="s">
        <v>39</v>
      </c>
      <c r="B59" s="12">
        <v>98959</v>
      </c>
      <c r="C59" s="12">
        <v>109106</v>
      </c>
      <c r="D59" s="12">
        <v>98667</v>
      </c>
      <c r="E59" s="25">
        <f>B59/(B59+B68)</f>
        <v>0.66135359651409131</v>
      </c>
      <c r="F59" s="25">
        <f>C59/(C59+C68)</f>
        <v>0.63361518269878514</v>
      </c>
      <c r="G59" s="25">
        <f>D59/(D59+D68)</f>
        <v>0.60160603880345842</v>
      </c>
    </row>
    <row r="60" spans="1:12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12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5" t="b">
        <f>E68=(B62-C62)/C62</f>
        <v>0</v>
      </c>
      <c r="F62" s="25">
        <f>(C62-D62)/D62</f>
        <v>0.11356841449783213</v>
      </c>
      <c r="G62" s="25" t="e">
        <f>(D62-E62)/E62</f>
        <v>#DIV/0!</v>
      </c>
    </row>
    <row r="63" spans="1:12" x14ac:dyDescent="0.25">
      <c r="B63" s="12"/>
      <c r="C63" s="12"/>
      <c r="D63" s="12"/>
    </row>
    <row r="64" spans="1:12" x14ac:dyDescent="0.25">
      <c r="A64" t="s">
        <v>42</v>
      </c>
      <c r="B64" s="12"/>
      <c r="C64" s="12"/>
      <c r="D64" s="12"/>
    </row>
    <row r="65" spans="1:7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33">
        <f>B22/68</f>
        <v>1467.6911764705883</v>
      </c>
      <c r="F68" s="33">
        <f t="shared" ref="F68:G68" si="51">C22/68</f>
        <v>1392.3529411764705</v>
      </c>
      <c r="G68" s="33">
        <f t="shared" si="51"/>
        <v>844.27941176470586</v>
      </c>
    </row>
    <row r="69" spans="1:7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>
        <f>(B69-C69)/C69</f>
        <v>4.9942735369029236E-3</v>
      </c>
      <c r="F69">
        <f>(C69-D69)/D69</f>
        <v>8.3714123400681711E-2</v>
      </c>
    </row>
    <row r="70" spans="1:7" ht="15.75" thickTop="1" x14ac:dyDescent="0.25"/>
    <row r="71" spans="1:7" x14ac:dyDescent="0.25">
      <c r="A71" s="30" t="s">
        <v>55</v>
      </c>
      <c r="B71" s="30"/>
      <c r="C71" s="30"/>
      <c r="D71" s="30"/>
    </row>
    <row r="72" spans="1:7" x14ac:dyDescent="0.25">
      <c r="B72" s="29" t="s">
        <v>23</v>
      </c>
      <c r="C72" s="29"/>
      <c r="D72" s="29"/>
    </row>
    <row r="73" spans="1:7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7" x14ac:dyDescent="0.25">
      <c r="A75" s="7" t="s">
        <v>56</v>
      </c>
      <c r="B75" s="15"/>
      <c r="C75" s="15"/>
      <c r="D75" s="15"/>
    </row>
    <row r="76" spans="1:7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7" x14ac:dyDescent="0.25">
      <c r="A77" s="11" t="s">
        <v>18</v>
      </c>
      <c r="B77" s="15"/>
      <c r="C77" s="15"/>
      <c r="D77" s="15"/>
    </row>
    <row r="78" spans="1:7" x14ac:dyDescent="0.25">
      <c r="A78" s="1" t="s">
        <v>58</v>
      </c>
      <c r="B78" s="12"/>
      <c r="C78" s="12"/>
      <c r="D78" s="12"/>
    </row>
    <row r="79" spans="1:7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10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10" x14ac:dyDescent="0.25">
      <c r="A98" s="1" t="s">
        <v>61</v>
      </c>
      <c r="B98" s="12">
        <v>-1780</v>
      </c>
      <c r="C98" s="12">
        <v>-352</v>
      </c>
      <c r="D98" s="12">
        <v>-909</v>
      </c>
      <c r="F98">
        <f>0.87/175</f>
        <v>4.9714285714285711E-3</v>
      </c>
    </row>
    <row r="99" spans="1:10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10" x14ac:dyDescent="0.25">
      <c r="A100" s="7" t="s">
        <v>71</v>
      </c>
      <c r="B100" s="12"/>
      <c r="C100" s="12"/>
      <c r="D100" s="12"/>
    </row>
    <row r="101" spans="1:10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10" x14ac:dyDescent="0.25">
      <c r="A102" s="1" t="s">
        <v>72</v>
      </c>
      <c r="B102" s="12">
        <v>-14841</v>
      </c>
      <c r="C102" s="12">
        <v>-14467</v>
      </c>
      <c r="D102" s="12">
        <v>-14081</v>
      </c>
      <c r="E102" s="25">
        <f>B102/B28*100</f>
        <v>-9.0905087211857485E-2</v>
      </c>
      <c r="F102" s="25">
        <f t="shared" ref="F102:G102" si="52">C102/C28*100</f>
        <v>-8.5781615672153547E-2</v>
      </c>
      <c r="G102" s="25">
        <f t="shared" si="52"/>
        <v>-8.0333341434558031E-2</v>
      </c>
      <c r="H102" s="23"/>
      <c r="I102" s="23"/>
      <c r="J102" s="23"/>
    </row>
    <row r="103" spans="1:10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26">
        <f>E102/175.01</f>
        <v>-5.1942795961292204E-4</v>
      </c>
    </row>
    <row r="104" spans="1:10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10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10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10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10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10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10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23">
        <f>B110+B113+B114+B79</f>
        <v>58519</v>
      </c>
      <c r="F110" s="23">
        <f>C110+C113+C114+C79</f>
        <v>75285</v>
      </c>
      <c r="G110" s="23">
        <f>D110+D113+D114+D79</f>
        <v>63348</v>
      </c>
    </row>
    <row r="111" spans="1:10" ht="15.75" thickTop="1" x14ac:dyDescent="0.25">
      <c r="B111" s="12"/>
      <c r="C111" s="12"/>
      <c r="D111" s="12"/>
      <c r="E111">
        <f>E110/B8</f>
        <v>0.14840183806374388</v>
      </c>
      <c r="F111">
        <f>F110/C8</f>
        <v>0.20579962112203642</v>
      </c>
      <c r="G111">
        <f>G110/D8</f>
        <v>0.2307633462652314</v>
      </c>
    </row>
    <row r="112" spans="1:10" x14ac:dyDescent="0.25">
      <c r="A112" t="s">
        <v>80</v>
      </c>
      <c r="B112" s="12"/>
      <c r="C112" s="12"/>
      <c r="D112" s="12"/>
    </row>
    <row r="113" spans="1:7" x14ac:dyDescent="0.25">
      <c r="A113" t="s">
        <v>81</v>
      </c>
      <c r="B113" s="12">
        <v>19573</v>
      </c>
      <c r="C113" s="12">
        <v>25385</v>
      </c>
      <c r="D113" s="12">
        <v>9501</v>
      </c>
      <c r="E113">
        <f>B113/B22*100</f>
        <v>19.611634920793964</v>
      </c>
      <c r="F113">
        <f>C113/C22*100</f>
        <v>26.811364596535697</v>
      </c>
      <c r="G113">
        <f>D113/D22*100</f>
        <v>16.549093379317554</v>
      </c>
    </row>
    <row r="114" spans="1:7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"/>
  <sheetViews>
    <sheetView tabSelected="1" topLeftCell="A25" zoomScale="180" zoomScaleNormal="180" workbookViewId="0">
      <selection activeCell="E58" sqref="E58"/>
    </sheetView>
  </sheetViews>
  <sheetFormatPr defaultColWidth="8.85546875" defaultRowHeight="15" x14ac:dyDescent="0.25"/>
  <cols>
    <col min="1" max="1" width="4.7109375" customWidth="1"/>
    <col min="2" max="2" width="44.85546875" customWidth="1"/>
    <col min="3" max="3" width="16" bestFit="1" customWidth="1"/>
    <col min="4" max="5" width="16.140625" bestFit="1" customWidth="1"/>
    <col min="6" max="6" width="10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9" t="s">
        <v>23</v>
      </c>
      <c r="D2" s="29"/>
      <c r="E2" s="29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4">
        <f>'Financial Statements'!F4</f>
        <v>0.87935602862672257</v>
      </c>
      <c r="D5" s="24">
        <f>'Financial Statements'!G4</f>
        <v>1.0745531195957954</v>
      </c>
      <c r="E5" s="24">
        <f>'Financial Statements'!H4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8">
        <f>'Financial Statements'!F5</f>
        <v>0.49673338442155579</v>
      </c>
      <c r="D6" s="28">
        <f>'Financial Statements'!G5</f>
        <v>0.70860927152317876</v>
      </c>
      <c r="E6" s="28">
        <f>'Financial Statements'!H5</f>
        <v>1.0158550933657204</v>
      </c>
    </row>
    <row r="7" spans="1:10" x14ac:dyDescent="0.25">
      <c r="A7" s="18">
        <f t="shared" si="0"/>
        <v>1.3000000000000003</v>
      </c>
      <c r="B7" s="1" t="s">
        <v>102</v>
      </c>
      <c r="C7" s="25">
        <f>'Financial Statements'!F6</f>
        <v>0.15356340351469652</v>
      </c>
      <c r="D7" s="25">
        <f>'Financial Statements'!G6</f>
        <v>0.27844853005634318</v>
      </c>
      <c r="E7" s="25">
        <f>'Financial Statements'!H6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'Financial Statements'!F8</f>
        <v>12.281708953554833</v>
      </c>
      <c r="D8">
        <f>'Financial Statements'!G8</f>
        <v>15.095279575499186</v>
      </c>
      <c r="E8">
        <f>'Financial Statements'!H8</f>
        <v>18.99726387078082</v>
      </c>
    </row>
    <row r="9" spans="1:10" x14ac:dyDescent="0.25">
      <c r="A9" s="18">
        <f t="shared" si="0"/>
        <v>1.5000000000000004</v>
      </c>
      <c r="B9" s="1" t="s">
        <v>104</v>
      </c>
      <c r="C9" s="25">
        <f>'Financial Statements'!F10</f>
        <v>9.4096740715557434</v>
      </c>
      <c r="D9" s="25">
        <f>'Financial Statements'!G10</f>
        <v>9.1181020842234748</v>
      </c>
      <c r="E9" s="25"/>
      <c r="F9" s="25"/>
      <c r="G9" s="25"/>
      <c r="H9" s="25"/>
    </row>
    <row r="10" spans="1:10" x14ac:dyDescent="0.25">
      <c r="A10" s="18">
        <f t="shared" si="0"/>
        <v>1.6000000000000005</v>
      </c>
      <c r="B10" s="1" t="s">
        <v>105</v>
      </c>
      <c r="C10" s="36">
        <f>'Financial Statements'!F11</f>
        <v>104.68527730310539</v>
      </c>
      <c r="D10" s="36">
        <f>'Financial Statements'!G11</f>
        <v>93.85107122231561</v>
      </c>
      <c r="E10" s="36">
        <f>'Financial Statements'!H11</f>
        <v>91.048189715674184</v>
      </c>
    </row>
    <row r="11" spans="1:10" x14ac:dyDescent="0.25">
      <c r="A11" s="18">
        <f t="shared" si="0"/>
        <v>1.7000000000000006</v>
      </c>
      <c r="B11" s="1" t="s">
        <v>106</v>
      </c>
      <c r="C11" s="23" t="s">
        <v>153</v>
      </c>
      <c r="D11" s="23" t="s">
        <v>153</v>
      </c>
      <c r="E11" s="23" t="s">
        <v>153</v>
      </c>
      <c r="F11" s="23" t="s">
        <v>154</v>
      </c>
    </row>
    <row r="12" spans="1:10" x14ac:dyDescent="0.25">
      <c r="A12" s="18">
        <f t="shared" si="0"/>
        <v>1.8000000000000007</v>
      </c>
      <c r="B12" s="1" t="s">
        <v>107</v>
      </c>
      <c r="C12" s="24"/>
      <c r="D12" s="24"/>
      <c r="E12" s="24"/>
      <c r="F12" t="s">
        <v>155</v>
      </c>
    </row>
    <row r="13" spans="1:10" x14ac:dyDescent="0.25">
      <c r="A13" s="18">
        <f t="shared" si="0"/>
        <v>1.9000000000000008</v>
      </c>
      <c r="B13" s="1" t="s">
        <v>108</v>
      </c>
      <c r="C13" s="25">
        <f>'Financial Statements'!F14</f>
        <v>-4.7110527276784806</v>
      </c>
      <c r="D13" s="25">
        <f>'Financial Statements'!G14</f>
        <v>2.5572895737486232</v>
      </c>
      <c r="E13" s="25">
        <f>'Financial Statements'!H14</f>
        <v>13.959528623208204</v>
      </c>
    </row>
    <row r="14" spans="1:10" x14ac:dyDescent="0.25">
      <c r="A14" s="18"/>
      <c r="B14" s="3" t="s">
        <v>109</v>
      </c>
      <c r="C14">
        <f>'Financial Statements'!F15</f>
        <v>-18577</v>
      </c>
      <c r="D14">
        <f>'Financial Statements'!G15</f>
        <v>9355</v>
      </c>
      <c r="E14">
        <f>'Financial Statements'!H15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>
        <f>'Financial Statements'!F18</f>
        <v>43.309630561360088</v>
      </c>
      <c r="D17">
        <f>'Financial Statements'!G18</f>
        <v>41.779359625167778</v>
      </c>
      <c r="E17">
        <f>'Financial Statements'!H18</f>
        <v>38.233247727810863</v>
      </c>
    </row>
    <row r="18" spans="1:5" x14ac:dyDescent="0.25">
      <c r="A18" s="18">
        <f>+A17+0.1</f>
        <v>2.2000000000000002</v>
      </c>
      <c r="B18" s="1" t="s">
        <v>111</v>
      </c>
      <c r="C18" s="28">
        <f>'Financial Statements'!F19</f>
        <v>0.33815757440506383</v>
      </c>
      <c r="D18" s="28">
        <f>'Financial Statements'!G19</f>
        <v>0.36640178012503521</v>
      </c>
      <c r="E18" s="28">
        <f>'Financial Statements'!H19</f>
        <v>0.29495655975083329</v>
      </c>
    </row>
    <row r="19" spans="1:5" x14ac:dyDescent="0.25">
      <c r="A19" s="18"/>
      <c r="B19" s="3" t="s">
        <v>112</v>
      </c>
      <c r="C19" s="31">
        <f>'Financial Statements'!F20</f>
        <v>133345</v>
      </c>
      <c r="D19" s="31">
        <f>'Financial Statements'!G20</f>
        <v>134036</v>
      </c>
      <c r="E19" s="31">
        <f>'Financial Statements'!H20</f>
        <v>80970</v>
      </c>
    </row>
    <row r="20" spans="1:5" x14ac:dyDescent="0.25">
      <c r="A20" s="18">
        <f>+A18+0.1</f>
        <v>2.3000000000000003</v>
      </c>
      <c r="B20" s="1" t="s">
        <v>113</v>
      </c>
      <c r="C20" s="25">
        <f>'Financial Statements'!F21</f>
        <v>0.30999827554726017</v>
      </c>
      <c r="D20" s="25">
        <f>'Financial Statements'!G21</f>
        <v>0.33555575602008653</v>
      </c>
      <c r="E20" s="25">
        <f>'Financial Statements'!H21</f>
        <v>0.25468189352130122</v>
      </c>
    </row>
    <row r="21" spans="1:5" x14ac:dyDescent="0.25">
      <c r="A21" s="18"/>
      <c r="B21" s="3" t="s">
        <v>114</v>
      </c>
      <c r="C21" s="36">
        <f>'Financial Statements'!F22</f>
        <v>119490</v>
      </c>
      <c r="D21" s="36">
        <f>'Financial Statements'!G22</f>
        <v>120179</v>
      </c>
      <c r="E21" s="36">
        <f>'Financial Statements'!H22</f>
        <v>67026</v>
      </c>
    </row>
    <row r="22" spans="1:5" x14ac:dyDescent="0.25">
      <c r="A22" s="18">
        <f>+A20+0.1</f>
        <v>2.4000000000000004</v>
      </c>
      <c r="B22" s="1" t="s">
        <v>115</v>
      </c>
      <c r="C22" s="25">
        <f>'Financial Statements'!F23</f>
        <v>25.309640705199733</v>
      </c>
      <c r="D22" s="25">
        <f>'Financial Statements'!G23</f>
        <v>25.881793355694239</v>
      </c>
      <c r="E22" s="25">
        <f>'Financial Statements'!H23</f>
        <v>20.913611278072235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 t="shared" ref="A25:A30" si="1">+A24+0.1</f>
        <v>3.1</v>
      </c>
      <c r="B25" s="1" t="s">
        <v>117</v>
      </c>
      <c r="C25" s="25">
        <f>'Financial Statements'!F26</f>
        <v>2.1725410483107042</v>
      </c>
      <c r="D25" s="25">
        <f>'Financial Statements'!G26</f>
        <v>1.8817403708987162</v>
      </c>
      <c r="E25" s="25">
        <f>'Financial Statements'!H26</f>
        <v>1.6443471739696047</v>
      </c>
    </row>
    <row r="26" spans="1:5" x14ac:dyDescent="0.25">
      <c r="A26" s="18">
        <f t="shared" si="1"/>
        <v>3.2</v>
      </c>
      <c r="B26" s="1" t="s">
        <v>118</v>
      </c>
      <c r="C26" s="25">
        <f>'Financial Statements'!F27</f>
        <v>0.31207778769967826</v>
      </c>
      <c r="D26" s="25">
        <f>'Financial Statements'!G27</f>
        <v>0.33822884200090025</v>
      </c>
      <c r="E26" s="25">
        <f>'Financial Statements'!H27</f>
        <v>0.33171960677765155</v>
      </c>
    </row>
    <row r="27" spans="1:5" x14ac:dyDescent="0.25">
      <c r="A27" s="18">
        <f t="shared" si="1"/>
        <v>3.3000000000000003</v>
      </c>
      <c r="B27" s="1" t="s">
        <v>119</v>
      </c>
      <c r="C27" s="25">
        <f>'Financial Statements'!F28</f>
        <v>2.3496212930645584</v>
      </c>
      <c r="D27" s="25">
        <f>'Financial Statements'!G28</f>
        <v>2.7663793103448278</v>
      </c>
      <c r="E27" s="25">
        <f>'Financial Statements'!H28</f>
        <v>2.683647935592667</v>
      </c>
    </row>
    <row r="28" spans="1:5" x14ac:dyDescent="0.25">
      <c r="A28" s="18">
        <f t="shared" si="1"/>
        <v>3.4000000000000004</v>
      </c>
      <c r="B28" s="1" t="s">
        <v>120</v>
      </c>
      <c r="C28" s="28">
        <f>'Financial Statements'!F29</f>
        <v>41.706806282722511</v>
      </c>
      <c r="D28" s="28">
        <f>'Financial Statements'!G29</f>
        <v>44.726088574618537</v>
      </c>
      <c r="E28" s="28">
        <f>'Financial Statements'!H29</f>
        <v>22.32711525649567</v>
      </c>
    </row>
    <row r="29" spans="1:5" x14ac:dyDescent="0.25">
      <c r="A29" s="18">
        <f t="shared" si="1"/>
        <v>3.5000000000000004</v>
      </c>
      <c r="B29" s="1" t="s">
        <v>121</v>
      </c>
      <c r="C29" s="25">
        <f>'Financial Statements'!F30</f>
        <v>10.733015815959741</v>
      </c>
      <c r="D29" s="25">
        <f>'Financial Statements'!G30</f>
        <v>11.333506709663997</v>
      </c>
      <c r="E29" s="25">
        <f>'Financial Statements'!H30</f>
        <v>7.5559101789581673</v>
      </c>
    </row>
    <row r="30" spans="1:5" x14ac:dyDescent="0.25">
      <c r="A30" s="18">
        <f t="shared" si="1"/>
        <v>3.6000000000000005</v>
      </c>
      <c r="B30" s="1" t="s">
        <v>122</v>
      </c>
      <c r="C30" s="26">
        <f>'Financial Statements'!F31</f>
        <v>6.8257525089552937E-3</v>
      </c>
      <c r="D30" s="26">
        <f>'Financial Statements'!G31</f>
        <v>6.2972137607064703E-3</v>
      </c>
      <c r="E30" s="26">
        <f>'Financial Statements'!H31</f>
        <v>3.2333014647128338E-3</v>
      </c>
    </row>
    <row r="31" spans="1:5" x14ac:dyDescent="0.25">
      <c r="A31" s="18"/>
      <c r="B31" s="3" t="s">
        <v>123</v>
      </c>
      <c r="C31">
        <f>'Financial Statements'!F32</f>
        <v>111436</v>
      </c>
      <c r="D31">
        <f>'Financial Statements'!G32</f>
        <v>106202</v>
      </c>
      <c r="E31">
        <f>'Financial Statements'!H32</f>
        <v>56674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5">
        <f>'Financial Statements'!F35</f>
        <v>1.1178523337727317</v>
      </c>
      <c r="D34" s="25">
        <f>'Financial Statements'!G35</f>
        <v>1.0422077367080529</v>
      </c>
      <c r="E34" s="25">
        <f>'Financial Statements'!H35</f>
        <v>0.84756150274168851</v>
      </c>
    </row>
    <row r="35" spans="1:5" x14ac:dyDescent="0.25">
      <c r="A35" s="18">
        <f>+A34+0.1</f>
        <v>4.1999999999999993</v>
      </c>
      <c r="B35" s="1" t="s">
        <v>126</v>
      </c>
      <c r="C35" s="25">
        <f>'Financial Statements'!F36</f>
        <v>1.8142535081665516</v>
      </c>
      <c r="D35" s="25">
        <f>'Financial Statements'!G36</f>
        <v>1.6922966608994938</v>
      </c>
      <c r="E35" s="25">
        <f>'Financial Statements'!H36</f>
        <v>1.5236020535590398</v>
      </c>
    </row>
    <row r="36" spans="1:5" x14ac:dyDescent="0.25">
      <c r="A36" s="18">
        <f>+A35+0.1</f>
        <v>4.2999999999999989</v>
      </c>
      <c r="B36" s="1" t="s">
        <v>127</v>
      </c>
      <c r="C36" s="25">
        <f>'Financial Statements'!F37</f>
        <v>45.197331176708452</v>
      </c>
      <c r="D36" s="25">
        <f>'Financial Statements'!G37</f>
        <v>32.367933130699086</v>
      </c>
      <c r="E36" s="25">
        <f>'Financial Statements'!H37</f>
        <v>41.753016498399411</v>
      </c>
    </row>
    <row r="37" spans="1:5" x14ac:dyDescent="0.25">
      <c r="A37" s="18">
        <f>+A36+0.1</f>
        <v>4.3999999999999986</v>
      </c>
      <c r="B37" s="1" t="s">
        <v>128</v>
      </c>
      <c r="C37" s="25">
        <f>'Financial Statements'!F38</f>
        <v>0.28292440929256851</v>
      </c>
      <c r="D37" s="25">
        <f>'Financial Statements'!G38</f>
        <v>0.26974205275183616</v>
      </c>
      <c r="E37" s="25">
        <f>'Financial Statements'!H38</f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 s="25">
        <f>'Financial Statements'!F41</f>
        <v>0.14364644016385311</v>
      </c>
      <c r="D40" s="25">
        <f>'Financial Statements'!G41</f>
        <v>0.17974256556942694</v>
      </c>
      <c r="E40" s="25">
        <f>'Financial Statements'!H41</f>
        <v>0.20173331522007606</v>
      </c>
    </row>
    <row r="41" spans="1:5" x14ac:dyDescent="0.25">
      <c r="A41" s="18">
        <f>+A40+0.1</f>
        <v>5.1999999999999993</v>
      </c>
      <c r="B41" s="3" t="s">
        <v>131</v>
      </c>
      <c r="C41" s="25">
        <f>'Financial Statements'!F42</f>
        <v>6.11</v>
      </c>
      <c r="D41" s="25">
        <f>'Financial Statements'!G42</f>
        <v>5.61</v>
      </c>
      <c r="E41" s="25">
        <f>'Financial Statements'!H42</f>
        <v>3.28</v>
      </c>
    </row>
    <row r="42" spans="1:5" x14ac:dyDescent="0.25">
      <c r="A42" s="18">
        <f>+A41+0.1</f>
        <v>5.2999999999999989</v>
      </c>
      <c r="B42" s="1" t="s">
        <v>132</v>
      </c>
      <c r="C42" s="25">
        <f>'Financial Statements'!F43</f>
        <v>56385.806425442053</v>
      </c>
      <c r="D42" s="25">
        <f>'Financial Statements'!G43</f>
        <v>46782.84156268822</v>
      </c>
      <c r="E42" s="25">
        <f>'Financial Statements'!H43</f>
        <v>46949.183981083268</v>
      </c>
    </row>
    <row r="43" spans="1:5" x14ac:dyDescent="0.25">
      <c r="A43" s="18">
        <f>+A42+0.1</f>
        <v>5.3999999999999986</v>
      </c>
      <c r="B43" s="3" t="s">
        <v>133</v>
      </c>
      <c r="C43" s="26">
        <f>'Financial Statements'!F44</f>
        <v>3.103795282797145E-3</v>
      </c>
      <c r="D43" s="26">
        <f>'Financial Statements'!G44</f>
        <v>3.7409014534845971E-3</v>
      </c>
      <c r="E43" s="26">
        <f>'Financial Statements'!H44</f>
        <v>3.7276473233382478E-3</v>
      </c>
    </row>
    <row r="44" spans="1:5" x14ac:dyDescent="0.25">
      <c r="A44" s="18">
        <f>+A43+0.1</f>
        <v>5.4999999999999982</v>
      </c>
      <c r="B44" s="1" t="s">
        <v>134</v>
      </c>
      <c r="C44" s="25">
        <f>'Financial Statements'!F45</f>
        <v>-0.14870294480125848</v>
      </c>
      <c r="D44" s="25">
        <f>'Financial Statements'!G45</f>
        <v>-0.15279890156316012</v>
      </c>
      <c r="E44" s="25">
        <f>'Financial Statements'!H45</f>
        <v>-0.24526658654264863</v>
      </c>
    </row>
    <row r="45" spans="1:5" x14ac:dyDescent="0.25">
      <c r="A45" s="18"/>
      <c r="B45" s="3" t="s">
        <v>135</v>
      </c>
      <c r="C45" s="26">
        <f>'Financial Statements'!F46</f>
        <v>-5.2787550811386557E-4</v>
      </c>
      <c r="D45" s="26">
        <f>'Financial Statements'!G46</f>
        <v>-4.6908022505177759E-4</v>
      </c>
      <c r="E45" s="26">
        <f>'Financial Statements'!H46</f>
        <v>-5.9601052337676847E-4</v>
      </c>
    </row>
    <row r="46" spans="1:5" x14ac:dyDescent="0.25">
      <c r="A46" s="18">
        <f>+A44+0.1</f>
        <v>5.5999999999999979</v>
      </c>
      <c r="B46" s="1" t="s">
        <v>136</v>
      </c>
      <c r="C46" s="35">
        <f>'Financial Statements'!F53</f>
        <v>-3.0162591172725308E-6</v>
      </c>
      <c r="D46" s="35">
        <f>'Financial Statements'!G53</f>
        <v>-2.6803052685662399E-6</v>
      </c>
      <c r="E46" s="35">
        <f>'Financial Statements'!H53</f>
        <v>-3.405579814734978E-6</v>
      </c>
    </row>
    <row r="47" spans="1:5" x14ac:dyDescent="0.25">
      <c r="A47" s="18">
        <f>+A45+0.1</f>
        <v>0.1</v>
      </c>
      <c r="B47" s="1" t="s">
        <v>137</v>
      </c>
      <c r="C47" s="25">
        <f>'Financial Statements'!F47</f>
        <v>1.9695887275023682</v>
      </c>
      <c r="D47" s="25">
        <f>'Financial Statements'!G47</f>
        <v>1.5007132667617689</v>
      </c>
      <c r="E47" s="25">
        <f>'Financial Statements'!H47</f>
        <v>0.87866358530127486</v>
      </c>
    </row>
    <row r="48" spans="1:5" x14ac:dyDescent="0.25">
      <c r="A48" s="18">
        <f>+A46+0.1</f>
        <v>5.6999999999999975</v>
      </c>
      <c r="B48" s="1" t="s">
        <v>138</v>
      </c>
      <c r="C48" s="25">
        <f>'Financial Statements'!F48</f>
        <v>0.60113798151660436</v>
      </c>
      <c r="D48" s="25">
        <f>'Financial Statements'!G48</f>
        <v>0.53289494104761859</v>
      </c>
      <c r="E48" s="25">
        <f>'Financial Statements'!H48</f>
        <v>0.30676076449912126</v>
      </c>
    </row>
    <row r="49" spans="1:5" x14ac:dyDescent="0.25">
      <c r="A49" s="18">
        <f>+A47+0.1</f>
        <v>0.2</v>
      </c>
      <c r="B49" s="1" t="s">
        <v>128</v>
      </c>
      <c r="C49" s="25">
        <f>'Financial Statements'!F49</f>
        <v>0.28292440929256851</v>
      </c>
      <c r="D49" s="25">
        <f>'Financial Statements'!G49</f>
        <v>0.26974205275183616</v>
      </c>
      <c r="E49" s="25">
        <f>'Financial Statements'!H49</f>
        <v>0.1772557180259843</v>
      </c>
    </row>
    <row r="50" spans="1:5" x14ac:dyDescent="0.25">
      <c r="A50" s="18">
        <f>+A48+0.1</f>
        <v>5.7999999999999972</v>
      </c>
      <c r="B50" s="1" t="s">
        <v>139</v>
      </c>
      <c r="C50" s="25">
        <f>'Financial Statements'!F50</f>
        <v>21427.63526333946</v>
      </c>
      <c r="D50" s="25">
        <f>'Financial Statements'!G50</f>
        <v>22021.048473469815</v>
      </c>
      <c r="E50" s="25">
        <f>'Financial Statements'!H50</f>
        <v>37886.651304680745</v>
      </c>
    </row>
    <row r="51" spans="1:5" x14ac:dyDescent="0.25">
      <c r="A51" s="18"/>
      <c r="B51" s="3" t="s">
        <v>140</v>
      </c>
      <c r="C51" s="25">
        <f>'Financial Statements'!F51</f>
        <v>2857268024.1900001</v>
      </c>
      <c r="D51" s="25">
        <f>'Financial Statements'!G51</f>
        <v>2951613253.1900001</v>
      </c>
      <c r="E51" s="25">
        <f>'Financial Statements'!H51</f>
        <v>3067682156.1399999</v>
      </c>
    </row>
    <row r="53" spans="1:5" x14ac:dyDescent="0.25">
      <c r="B53" s="1" t="s">
        <v>160</v>
      </c>
      <c r="C53" t="s">
        <v>161</v>
      </c>
      <c r="D53" s="25">
        <f>'Financial Statements'!J5</f>
        <v>6.3239764351428418</v>
      </c>
      <c r="E53" s="25">
        <f>'Financial Statements'!K5</f>
        <v>34.720743656765436</v>
      </c>
    </row>
    <row r="54" spans="1:5" x14ac:dyDescent="0.25">
      <c r="C54" t="s">
        <v>162</v>
      </c>
      <c r="D54" s="25">
        <f>'Financial Statements'!J6</f>
        <v>14.181951041286078</v>
      </c>
      <c r="E54" s="25">
        <f>'Financial Statements'!K6</f>
        <v>27.259708376729652</v>
      </c>
    </row>
    <row r="55" spans="1:5" x14ac:dyDescent="0.25">
      <c r="C55" t="s">
        <v>163</v>
      </c>
      <c r="D55" s="25">
        <f>'Financial Statements'!J7</f>
        <v>7.7937876041846055</v>
      </c>
      <c r="E55" s="25">
        <f>'Financial Statements'!K7</f>
        <v>33.25938473307469</v>
      </c>
    </row>
    <row r="56" spans="1:5" x14ac:dyDescent="0.25">
      <c r="D56" s="25">
        <f>'Financial Statements'!J8</f>
        <v>0</v>
      </c>
      <c r="E56" s="25">
        <f>'Financial Statements'!K8</f>
        <v>0</v>
      </c>
    </row>
    <row r="57" spans="1:5" x14ac:dyDescent="0.25">
      <c r="C57" t="s">
        <v>164</v>
      </c>
      <c r="D57" s="25">
        <f>'Financial Statements'!J9</f>
        <v>11.741997958596142</v>
      </c>
      <c r="E57" s="25">
        <f>'Financial Statements'!K9</f>
        <v>45.61911658218682</v>
      </c>
    </row>
    <row r="58" spans="1:5" x14ac:dyDescent="0.25">
      <c r="D58" s="25"/>
      <c r="E58" s="25"/>
    </row>
    <row r="59" spans="1:5" x14ac:dyDescent="0.25">
      <c r="C59" t="s">
        <v>165</v>
      </c>
      <c r="D59" s="25">
        <f>'Financial Statements'!J11</f>
        <v>19.791001186456146</v>
      </c>
      <c r="E59" s="25">
        <f>'Financial Statements'!K11</f>
        <v>16.862201365187712</v>
      </c>
    </row>
    <row r="60" spans="1:5" x14ac:dyDescent="0.25">
      <c r="C60" t="s">
        <v>166</v>
      </c>
      <c r="D60" s="25">
        <f>'Financial Statements'!J12</f>
        <v>14.203795567287125</v>
      </c>
      <c r="E60" s="25">
        <f>'Financial Statements'!K12</f>
        <v>10.328379192608958</v>
      </c>
    </row>
    <row r="61" spans="1:5" x14ac:dyDescent="0.25">
      <c r="C61" t="s">
        <v>167</v>
      </c>
      <c r="D61" s="25">
        <f>'Financial Statements'!J13</f>
        <v>16.993642764372137</v>
      </c>
      <c r="E61" s="25">
        <f>'Financial Statements'!K13</f>
        <v>13.496948381090307</v>
      </c>
    </row>
    <row r="62" spans="1:5" x14ac:dyDescent="0.25">
      <c r="D62" s="25">
        <f>'Financial Statements'!J14</f>
        <v>0</v>
      </c>
      <c r="E62" s="25">
        <f>'Financial Statements'!K14</f>
        <v>0</v>
      </c>
    </row>
    <row r="63" spans="1:5" x14ac:dyDescent="0.25">
      <c r="C63" t="s">
        <v>168</v>
      </c>
      <c r="D63" s="25">
        <f>'Financial Statements'!J15</f>
        <v>9.6265225013538451</v>
      </c>
      <c r="E63" s="25">
        <f>'Financial Statements'!K15</f>
        <v>64.357048032826455</v>
      </c>
    </row>
    <row r="64" spans="1:5" x14ac:dyDescent="0.25">
      <c r="D64" s="25">
        <f>'Financial Statements'!J16</f>
        <v>0</v>
      </c>
      <c r="E64" s="25">
        <f>'Financial Statements'!K16</f>
        <v>0</v>
      </c>
    </row>
    <row r="65" spans="3:6" x14ac:dyDescent="0.25">
      <c r="C65" t="s">
        <v>169</v>
      </c>
      <c r="D65" s="25">
        <f>'Financial Statements'!J17</f>
        <v>5.4108576256865231</v>
      </c>
      <c r="E65" s="25">
        <f>'Financial Statements'!K17</f>
        <v>64.916131055024294</v>
      </c>
    </row>
    <row r="66" spans="3:6" x14ac:dyDescent="0.25">
      <c r="D66" s="25"/>
      <c r="E66" s="25"/>
    </row>
    <row r="67" spans="3:6" x14ac:dyDescent="0.25">
      <c r="C67" t="s">
        <v>170</v>
      </c>
      <c r="D67" s="25">
        <f>'Financial Statements'!J19</f>
        <v>0.42199412619775128</v>
      </c>
      <c r="E67" s="25">
        <f>'Financial Statements'!K19</f>
        <v>-6.1768942266879128</v>
      </c>
    </row>
    <row r="68" spans="3:6" x14ac:dyDescent="0.25">
      <c r="C68" t="s">
        <v>171</v>
      </c>
      <c r="D68" s="25">
        <f>'Financial Statements'!J20</f>
        <v>0.54772720964443988</v>
      </c>
      <c r="E68" s="25">
        <f>'Financial Statements'!K20</f>
        <v>19.975579297904815</v>
      </c>
    </row>
    <row r="69" spans="3:6" x14ac:dyDescent="0.25">
      <c r="C69" t="s">
        <v>172</v>
      </c>
      <c r="D69" s="25">
        <f>'Financial Statements'!J21</f>
        <v>0.49942735369029234</v>
      </c>
      <c r="E69" s="25">
        <f>'Financial Statements'!K21</f>
        <v>8.3714123400681704</v>
      </c>
    </row>
    <row r="70" spans="3:6" x14ac:dyDescent="0.25">
      <c r="C70" t="s">
        <v>173</v>
      </c>
      <c r="D70" s="25">
        <f>'Financial Statements'!J22</f>
        <v>22.713398841258837</v>
      </c>
      <c r="E70" s="25">
        <f>'Financial Statements'!K22</f>
        <v>19.061219067860939</v>
      </c>
    </row>
    <row r="71" spans="3:6" x14ac:dyDescent="0.25">
      <c r="C71" t="s">
        <v>174</v>
      </c>
      <c r="D71" s="25">
        <f>'Financial Statements'!J23</f>
        <v>-8.8222075835277742</v>
      </c>
      <c r="E71" s="25">
        <f>'Financial Statements'!K23</f>
        <v>6.0552243775994565</v>
      </c>
    </row>
    <row r="72" spans="3:6" x14ac:dyDescent="0.25">
      <c r="C72" t="s">
        <v>175</v>
      </c>
      <c r="D72" s="25">
        <f>'Financial Statements'!J24</f>
        <v>4.9219900525160467</v>
      </c>
      <c r="E72" s="25">
        <f>'Financial Statements'!K24</f>
        <v>11.356841449783213</v>
      </c>
    </row>
    <row r="73" spans="3:6" x14ac:dyDescent="0.25">
      <c r="C73" t="s">
        <v>176</v>
      </c>
      <c r="D73" s="25">
        <f>'Financial Statements'!J25</f>
        <v>-19.682992550324933</v>
      </c>
      <c r="E73" s="25">
        <f>'Financial Statements'!K25</f>
        <v>-3.4420483937617661</v>
      </c>
    </row>
    <row r="74" spans="3:6" x14ac:dyDescent="0.25">
      <c r="C74" t="s">
        <v>177</v>
      </c>
      <c r="D74" s="25">
        <f>'Financial Statements'!J26</f>
        <v>0.49942735369029234</v>
      </c>
      <c r="E74" s="25">
        <f>'Financial Statements'!K26</f>
        <v>8.3714123400681704</v>
      </c>
    </row>
    <row r="76" spans="3:6" x14ac:dyDescent="0.25">
      <c r="C76" t="s">
        <v>178</v>
      </c>
      <c r="D76" s="25">
        <f>'Financial Statements'!J35</f>
        <v>56.690369438639912</v>
      </c>
      <c r="E76" s="25">
        <f>'Financial Statements'!K35</f>
        <v>58.220640374832222</v>
      </c>
      <c r="F76" s="25">
        <f>'Financial Statements'!L35</f>
        <v>61.76675227218913</v>
      </c>
    </row>
    <row r="77" spans="3:6" x14ac:dyDescent="0.25">
      <c r="C77" t="s">
        <v>179</v>
      </c>
      <c r="D77" s="25">
        <f>'Financial Statements'!J36</f>
        <v>43.309630561360088</v>
      </c>
      <c r="E77" s="25">
        <f>'Financial Statements'!K36</f>
        <v>41.779359625167778</v>
      </c>
      <c r="F77" s="25">
        <f>'Financial Statements'!L36</f>
        <v>38.233247727810863</v>
      </c>
    </row>
    <row r="78" spans="3:6" x14ac:dyDescent="0.25">
      <c r="C78" t="s">
        <v>165</v>
      </c>
      <c r="D78" s="25">
        <f>'Financial Statements'!J37</f>
        <v>6.6571483637986653</v>
      </c>
      <c r="E78" s="25">
        <f>'Financial Statements'!K37</f>
        <v>5.9904269074427923</v>
      </c>
      <c r="F78" s="25">
        <f>'Financial Statements'!L37</f>
        <v>6.8309564140393064</v>
      </c>
    </row>
    <row r="79" spans="3:6" x14ac:dyDescent="0.25">
      <c r="C79" t="s">
        <v>180</v>
      </c>
      <c r="D79" s="25">
        <f>'Financial Statements'!J38</f>
        <v>6.3637378020328264</v>
      </c>
      <c r="E79" s="25">
        <f>'Financial Statements'!K38</f>
        <v>6.0065551901633878</v>
      </c>
      <c r="F79" s="25">
        <f>'Financial Statements'!L38</f>
        <v>7.254976959364698</v>
      </c>
    </row>
    <row r="80" spans="3:6" x14ac:dyDescent="0.25">
      <c r="C80" t="s">
        <v>181</v>
      </c>
      <c r="D80" s="25">
        <f>'Financial Statements'!J39</f>
        <v>13.020886165831492</v>
      </c>
      <c r="E80" s="25">
        <f>'Financial Statements'!K39</f>
        <v>11.99698209760618</v>
      </c>
      <c r="F80" s="25">
        <f>'Financial Statements'!L39</f>
        <v>14.085933373404004</v>
      </c>
    </row>
    <row r="81" spans="3:6" x14ac:dyDescent="0.25">
      <c r="C81" t="s">
        <v>168</v>
      </c>
      <c r="D81" s="25">
        <f>'Financial Statements'!J40</f>
        <v>30.288744395528592</v>
      </c>
      <c r="E81" s="25">
        <f>'Financial Statements'!K40</f>
        <v>29.782377527561593</v>
      </c>
      <c r="F81" s="25">
        <f>'Financial Statements'!L40</f>
        <v>24.147314354406863</v>
      </c>
    </row>
    <row r="82" spans="3:6" x14ac:dyDescent="0.25">
      <c r="C82" t="s">
        <v>182</v>
      </c>
      <c r="D82" s="25">
        <f>'Financial Statements'!J41</f>
        <v>25.309640705199733</v>
      </c>
      <c r="E82" s="25">
        <f>'Financial Statements'!K41</f>
        <v>25.881793355694239</v>
      </c>
      <c r="F82" s="25">
        <f>'Financial Statements'!L41</f>
        <v>20.913611278072235</v>
      </c>
    </row>
    <row r="84" spans="3:6" x14ac:dyDescent="0.25">
      <c r="C84" t="s">
        <v>183</v>
      </c>
      <c r="D84" s="25">
        <f>'Financial Statements'!J55</f>
        <v>19.338096049216958</v>
      </c>
      <c r="E84" s="25">
        <f>'Financial Statements'!K55</f>
        <v>15.343261512463032</v>
      </c>
      <c r="F84" s="25">
        <f>'Financial Statements'!L55</f>
        <v>16.860880319102613</v>
      </c>
    </row>
    <row r="85" spans="3:6" x14ac:dyDescent="0.25">
      <c r="C85" t="s">
        <v>184</v>
      </c>
      <c r="D85" s="25">
        <f>'Financial Statements'!J56</f>
        <v>10.680702359457102</v>
      </c>
      <c r="E85" s="25">
        <f>'Financial Statements'!K56</f>
        <v>10.781346957631822</v>
      </c>
      <c r="F85" s="25">
        <f>'Financial Statements'!L56</f>
        <v>13.393075059650656</v>
      </c>
    </row>
    <row r="86" spans="3:6" x14ac:dyDescent="0.25">
      <c r="C86" t="s">
        <v>185</v>
      </c>
      <c r="D86" s="25">
        <f>'Financial Statements'!J57</f>
        <v>19.377501725327811</v>
      </c>
      <c r="E86" s="25">
        <f>'Financial Statements'!K57</f>
        <v>18.245237456399249</v>
      </c>
      <c r="F86" s="25">
        <f>'Financial Statements'!L57</f>
        <v>20.405716664354102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Richard Horsley</cp:lastModifiedBy>
  <dcterms:created xsi:type="dcterms:W3CDTF">2020-05-18T16:32:37Z</dcterms:created>
  <dcterms:modified xsi:type="dcterms:W3CDTF">2023-09-19T14:28:29Z</dcterms:modified>
</cp:coreProperties>
</file>