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R101544\Downloads\QCP SAM\"/>
    </mc:Choice>
  </mc:AlternateContent>
  <xr:revisionPtr revIDLastSave="0" documentId="13_ncr:1_{61A2B17C-BDD3-4D98-A80D-059DE7B23537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6" i="3" l="1"/>
  <c r="E85" i="3"/>
  <c r="D86" i="3"/>
  <c r="D85" i="3"/>
  <c r="C44" i="3"/>
  <c r="D46" i="3"/>
  <c r="E46" i="3"/>
  <c r="E45" i="3"/>
  <c r="E44" i="3"/>
  <c r="D45" i="3"/>
  <c r="D44" i="3"/>
  <c r="C46" i="3"/>
  <c r="C45" i="3"/>
  <c r="E29" i="3"/>
  <c r="D29" i="3"/>
  <c r="C29" i="3"/>
  <c r="K55" i="1" l="1"/>
  <c r="L55" i="1"/>
  <c r="J55" i="1"/>
  <c r="K110" i="1"/>
  <c r="J110" i="1"/>
  <c r="D59" i="3"/>
  <c r="D60" i="3"/>
  <c r="E60" i="3"/>
  <c r="J12" i="1"/>
  <c r="K11" i="1"/>
  <c r="E59" i="3" s="1"/>
  <c r="K12" i="1"/>
  <c r="K5" i="1"/>
  <c r="J11" i="1"/>
  <c r="E53" i="3"/>
  <c r="K6" i="1"/>
  <c r="E54" i="3" s="1"/>
  <c r="J6" i="1"/>
  <c r="D54" i="3" s="1"/>
  <c r="J5" i="1"/>
  <c r="D53" i="3" s="1"/>
  <c r="J32" i="1"/>
  <c r="J51" i="1"/>
  <c r="C51" i="3"/>
  <c r="G51" i="1"/>
  <c r="H51" i="1"/>
  <c r="L51" i="1" s="1"/>
  <c r="F51" i="1"/>
  <c r="G46" i="1"/>
  <c r="G53" i="1" s="1"/>
  <c r="H46" i="1"/>
  <c r="F46" i="1"/>
  <c r="C40" i="3"/>
  <c r="D40" i="3"/>
  <c r="E40" i="3"/>
  <c r="G41" i="1"/>
  <c r="H41" i="1"/>
  <c r="F41" i="1"/>
  <c r="C26" i="3"/>
  <c r="D26" i="3"/>
  <c r="G28" i="1"/>
  <c r="D27" i="3" s="1"/>
  <c r="H28" i="1"/>
  <c r="E27" i="3" s="1"/>
  <c r="F28" i="1"/>
  <c r="C27" i="3" s="1"/>
  <c r="F12" i="1"/>
  <c r="F53" i="1"/>
  <c r="F42" i="1"/>
  <c r="C41" i="3" s="1"/>
  <c r="G42" i="1"/>
  <c r="D41" i="3" s="1"/>
  <c r="H42" i="1"/>
  <c r="E41" i="3" s="1"/>
  <c r="K32" i="1"/>
  <c r="L32" i="1"/>
  <c r="G12" i="1"/>
  <c r="H12" i="1"/>
  <c r="F9" i="1"/>
  <c r="G9" i="1"/>
  <c r="F98" i="1"/>
  <c r="E102" i="1"/>
  <c r="E103" i="1" s="1"/>
  <c r="F102" i="1"/>
  <c r="G102" i="1"/>
  <c r="E51" i="3" l="1"/>
  <c r="E26" i="3"/>
  <c r="D51" i="3"/>
  <c r="K51" i="1"/>
  <c r="H53" i="1"/>
  <c r="F110" i="1" l="1"/>
  <c r="G110" i="1"/>
  <c r="E110" i="1"/>
  <c r="B42" i="1" l="1"/>
  <c r="B56" i="1"/>
  <c r="D108" i="1"/>
  <c r="C108" i="1"/>
  <c r="B108" i="1"/>
  <c r="D99" i="1"/>
  <c r="C99" i="1"/>
  <c r="B99" i="1"/>
  <c r="F15" i="1" l="1"/>
  <c r="C11" i="3" s="1"/>
  <c r="F6" i="1"/>
  <c r="C7" i="3" s="1"/>
  <c r="F5" i="1"/>
  <c r="C6" i="3" s="1"/>
  <c r="F4" i="1"/>
  <c r="C5" i="3" s="1"/>
  <c r="D68" i="1"/>
  <c r="C68" i="1"/>
  <c r="B68" i="1"/>
  <c r="D61" i="1"/>
  <c r="C61" i="1"/>
  <c r="K23" i="1" s="1"/>
  <c r="E71" i="3" s="1"/>
  <c r="B61" i="1"/>
  <c r="J23" i="1" s="1"/>
  <c r="D71" i="3" s="1"/>
  <c r="D56" i="1"/>
  <c r="H15" i="1" s="1"/>
  <c r="C56" i="1"/>
  <c r="D47" i="1"/>
  <c r="L57" i="1" s="1"/>
  <c r="G86" i="3" s="1"/>
  <c r="C47" i="1"/>
  <c r="B47" i="1"/>
  <c r="D42" i="1"/>
  <c r="C42" i="1"/>
  <c r="K19" i="1" s="1"/>
  <c r="E67" i="3" s="1"/>
  <c r="B48" i="1"/>
  <c r="D17" i="1"/>
  <c r="C17" i="1"/>
  <c r="B17" i="1"/>
  <c r="D12" i="1"/>
  <c r="C12" i="1"/>
  <c r="B12" i="1"/>
  <c r="D8" i="1"/>
  <c r="C8" i="1"/>
  <c r="B8" i="1"/>
  <c r="E3" i="3"/>
  <c r="D3" i="3"/>
  <c r="C3" i="3"/>
  <c r="D33" i="1"/>
  <c r="D73" i="1" s="1"/>
  <c r="C33" i="1"/>
  <c r="C73" i="1" s="1"/>
  <c r="B33" i="1"/>
  <c r="B73" i="1" s="1"/>
  <c r="H14" i="1" l="1"/>
  <c r="E11" i="3"/>
  <c r="L37" i="1"/>
  <c r="G78" i="3" s="1"/>
  <c r="L38" i="1"/>
  <c r="G79" i="3" s="1"/>
  <c r="H13" i="1"/>
  <c r="H18" i="1"/>
  <c r="E17" i="3" s="1"/>
  <c r="L56" i="1"/>
  <c r="G85" i="3" s="1"/>
  <c r="F26" i="1"/>
  <c r="C25" i="3" s="1"/>
  <c r="J25" i="1"/>
  <c r="D73" i="3" s="1"/>
  <c r="F43" i="1"/>
  <c r="C42" i="3" s="1"/>
  <c r="H26" i="1"/>
  <c r="E25" i="3" s="1"/>
  <c r="H43" i="1"/>
  <c r="E42" i="3" s="1"/>
  <c r="G15" i="1"/>
  <c r="K22" i="1"/>
  <c r="E70" i="3" s="1"/>
  <c r="K56" i="1"/>
  <c r="K37" i="1"/>
  <c r="E78" i="3" s="1"/>
  <c r="G13" i="1"/>
  <c r="K38" i="1"/>
  <c r="E79" i="3" s="1"/>
  <c r="G18" i="1"/>
  <c r="D17" i="3" s="1"/>
  <c r="K7" i="1"/>
  <c r="E55" i="3" s="1"/>
  <c r="J13" i="1"/>
  <c r="D61" i="3" s="1"/>
  <c r="J39" i="1"/>
  <c r="D80" i="3" s="1"/>
  <c r="F7" i="1"/>
  <c r="F8" i="1" s="1"/>
  <c r="C8" i="3" s="1"/>
  <c r="G10" i="1"/>
  <c r="D9" i="3" s="1"/>
  <c r="K35" i="1"/>
  <c r="E76" i="3" s="1"/>
  <c r="F18" i="1"/>
  <c r="C17" i="3" s="1"/>
  <c r="J56" i="1"/>
  <c r="F14" i="1"/>
  <c r="C13" i="3" s="1"/>
  <c r="J38" i="1"/>
  <c r="D79" i="3" s="1"/>
  <c r="J37" i="1"/>
  <c r="D78" i="3" s="1"/>
  <c r="F13" i="1"/>
  <c r="J7" i="1"/>
  <c r="D55" i="3" s="1"/>
  <c r="F11" i="1"/>
  <c r="F10" i="1"/>
  <c r="C9" i="3" s="1"/>
  <c r="J35" i="1"/>
  <c r="D76" i="3" s="1"/>
  <c r="H10" i="1"/>
  <c r="E9" i="3" s="1"/>
  <c r="L35" i="1"/>
  <c r="G76" i="3" s="1"/>
  <c r="L39" i="1"/>
  <c r="G80" i="3" s="1"/>
  <c r="H7" i="1"/>
  <c r="H8" i="1" s="1"/>
  <c r="E8" i="3" s="1"/>
  <c r="F27" i="1"/>
  <c r="J20" i="1"/>
  <c r="D68" i="3" s="1"/>
  <c r="J57" i="1"/>
  <c r="G26" i="1"/>
  <c r="D25" i="3" s="1"/>
  <c r="G43" i="1"/>
  <c r="D42" i="3" s="1"/>
  <c r="K25" i="1"/>
  <c r="E73" i="3" s="1"/>
  <c r="K13" i="1"/>
  <c r="E61" i="3" s="1"/>
  <c r="G7" i="1"/>
  <c r="K39" i="1"/>
  <c r="E80" i="3" s="1"/>
  <c r="J19" i="1"/>
  <c r="D67" i="3" s="1"/>
  <c r="K57" i="1"/>
  <c r="K20" i="1"/>
  <c r="E68" i="3" s="1"/>
  <c r="J22" i="1"/>
  <c r="D70" i="3" s="1"/>
  <c r="G37" i="1"/>
  <c r="D36" i="3" s="1"/>
  <c r="G11" i="1"/>
  <c r="D10" i="3" s="1"/>
  <c r="G5" i="1"/>
  <c r="D6" i="3" s="1"/>
  <c r="G6" i="1"/>
  <c r="D7" i="3" s="1"/>
  <c r="H36" i="1"/>
  <c r="E35" i="3" s="1"/>
  <c r="E59" i="1"/>
  <c r="G59" i="1"/>
  <c r="E56" i="1"/>
  <c r="G8" i="1"/>
  <c r="D8" i="3" s="1"/>
  <c r="G4" i="1"/>
  <c r="D5" i="3" s="1"/>
  <c r="C14" i="3"/>
  <c r="F36" i="1"/>
  <c r="C35" i="3" s="1"/>
  <c r="F35" i="1"/>
  <c r="C34" i="3" s="1"/>
  <c r="H5" i="1"/>
  <c r="E6" i="3" s="1"/>
  <c r="H6" i="1"/>
  <c r="E7" i="3" s="1"/>
  <c r="C10" i="3"/>
  <c r="C12" i="3" s="1"/>
  <c r="F37" i="1"/>
  <c r="C36" i="3" s="1"/>
  <c r="F59" i="1"/>
  <c r="G36" i="1"/>
  <c r="D35" i="3" s="1"/>
  <c r="G35" i="1"/>
  <c r="D34" i="3" s="1"/>
  <c r="H37" i="1"/>
  <c r="E36" i="3" s="1"/>
  <c r="H11" i="1"/>
  <c r="E10" i="3" s="1"/>
  <c r="E12" i="3" s="1"/>
  <c r="H4" i="1"/>
  <c r="E5" i="3" s="1"/>
  <c r="F111" i="1"/>
  <c r="B13" i="1"/>
  <c r="E111" i="1"/>
  <c r="C62" i="1"/>
  <c r="F56" i="1"/>
  <c r="G111" i="1"/>
  <c r="D13" i="1"/>
  <c r="L36" i="1" s="1"/>
  <c r="G77" i="3" s="1"/>
  <c r="C13" i="1"/>
  <c r="B62" i="1"/>
  <c r="J24" i="1" s="1"/>
  <c r="D72" i="3" s="1"/>
  <c r="C48" i="1"/>
  <c r="J21" i="1" s="1"/>
  <c r="D69" i="3" s="1"/>
  <c r="D62" i="1"/>
  <c r="D69" i="1" s="1"/>
  <c r="D48" i="1"/>
  <c r="H44" i="1" s="1"/>
  <c r="E43" i="3" s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G14" i="1" l="1"/>
  <c r="D11" i="3"/>
  <c r="K9" i="1"/>
  <c r="E57" i="3" s="1"/>
  <c r="K36" i="1"/>
  <c r="E77" i="3" s="1"/>
  <c r="H35" i="1"/>
  <c r="E34" i="3" s="1"/>
  <c r="F44" i="1"/>
  <c r="C43" i="3" s="1"/>
  <c r="K24" i="1"/>
  <c r="E72" i="3" s="1"/>
  <c r="D12" i="3"/>
  <c r="G44" i="1"/>
  <c r="D43" i="3" s="1"/>
  <c r="K21" i="1"/>
  <c r="E69" i="3" s="1"/>
  <c r="J9" i="1"/>
  <c r="D57" i="3" s="1"/>
  <c r="J36" i="1"/>
  <c r="D77" i="3" s="1"/>
  <c r="D13" i="3"/>
  <c r="D14" i="3"/>
  <c r="C69" i="1"/>
  <c r="K26" i="1" s="1"/>
  <c r="E74" i="3" s="1"/>
  <c r="F62" i="1"/>
  <c r="H27" i="1"/>
  <c r="G27" i="1"/>
  <c r="B18" i="1"/>
  <c r="E14" i="3"/>
  <c r="E13" i="3"/>
  <c r="B20" i="1"/>
  <c r="B22" i="1" s="1"/>
  <c r="D18" i="1"/>
  <c r="C18" i="1"/>
  <c r="A24" i="3"/>
  <c r="A25" i="3" s="1"/>
  <c r="A26" i="3" s="1"/>
  <c r="A27" i="3" s="1"/>
  <c r="A28" i="3" s="1"/>
  <c r="A29" i="3" s="1"/>
  <c r="A30" i="3" s="1"/>
  <c r="K15" i="1" l="1"/>
  <c r="E63" i="3" s="1"/>
  <c r="G22" i="1"/>
  <c r="G48" i="1"/>
  <c r="D48" i="3" s="1"/>
  <c r="G29" i="1"/>
  <c r="D28" i="3" s="1"/>
  <c r="G21" i="1"/>
  <c r="K40" i="1"/>
  <c r="E81" i="3" s="1"/>
  <c r="G20" i="1"/>
  <c r="D21" i="3" s="1"/>
  <c r="G30" i="1"/>
  <c r="F23" i="1"/>
  <c r="C22" i="3" s="1"/>
  <c r="J41" i="1"/>
  <c r="D82" i="3" s="1"/>
  <c r="J17" i="1"/>
  <c r="D65" i="3" s="1"/>
  <c r="J62" i="1"/>
  <c r="D84" i="3" s="1"/>
  <c r="F19" i="1"/>
  <c r="F30" i="1"/>
  <c r="J15" i="1"/>
  <c r="D63" i="3" s="1"/>
  <c r="J40" i="1"/>
  <c r="D81" i="3" s="1"/>
  <c r="F29" i="1"/>
  <c r="C28" i="3" s="1"/>
  <c r="F20" i="1"/>
  <c r="C21" i="3" s="1"/>
  <c r="F48" i="1"/>
  <c r="F22" i="1"/>
  <c r="F21" i="1"/>
  <c r="H30" i="1"/>
  <c r="H48" i="1"/>
  <c r="E48" i="3" s="1"/>
  <c r="L40" i="1"/>
  <c r="G81" i="3" s="1"/>
  <c r="H29" i="1"/>
  <c r="E28" i="3" s="1"/>
  <c r="H20" i="1"/>
  <c r="E21" i="3" s="1"/>
  <c r="H22" i="1"/>
  <c r="H21" i="1"/>
  <c r="E69" i="1"/>
  <c r="A33" i="3"/>
  <c r="A34" i="3" s="1"/>
  <c r="A35" i="3" s="1"/>
  <c r="A36" i="3" s="1"/>
  <c r="A37" i="3" s="1"/>
  <c r="J26" i="1"/>
  <c r="D74" i="3" s="1"/>
  <c r="F69" i="1"/>
  <c r="F47" i="1"/>
  <c r="J47" i="1" s="1"/>
  <c r="F49" i="1"/>
  <c r="J49" i="1" s="1"/>
  <c r="F38" i="1"/>
  <c r="C37" i="3" s="1"/>
  <c r="F45" i="1"/>
  <c r="E68" i="1"/>
  <c r="E62" i="1" s="1"/>
  <c r="G62" i="1" s="1"/>
  <c r="E113" i="1"/>
  <c r="B76" i="1"/>
  <c r="B91" i="1" s="1"/>
  <c r="C20" i="1"/>
  <c r="C22" i="1" s="1"/>
  <c r="D20" i="1"/>
  <c r="D22" i="1" s="1"/>
  <c r="E18" i="3" l="1"/>
  <c r="E20" i="3"/>
  <c r="A39" i="3"/>
  <c r="A40" i="3" s="1"/>
  <c r="A41" i="3" s="1"/>
  <c r="A42" i="3" s="1"/>
  <c r="A43" i="3" s="1"/>
  <c r="A44" i="3" s="1"/>
  <c r="A46" i="3" s="1"/>
  <c r="A48" i="3" s="1"/>
  <c r="A50" i="3" s="1"/>
  <c r="B109" i="1"/>
  <c r="F32" i="1"/>
  <c r="C31" i="3" s="1"/>
  <c r="L62" i="1"/>
  <c r="G84" i="3" s="1"/>
  <c r="L41" i="1"/>
  <c r="G82" i="3" s="1"/>
  <c r="H49" i="1"/>
  <c r="H47" i="1"/>
  <c r="H23" i="1"/>
  <c r="E22" i="3" s="1"/>
  <c r="E19" i="3"/>
  <c r="H50" i="1"/>
  <c r="E50" i="3" s="1"/>
  <c r="G49" i="1"/>
  <c r="K17" i="1"/>
  <c r="E65" i="3" s="1"/>
  <c r="K62" i="1"/>
  <c r="E84" i="3" s="1"/>
  <c r="K41" i="1"/>
  <c r="E82" i="3" s="1"/>
  <c r="G23" i="1"/>
  <c r="G47" i="1"/>
  <c r="C18" i="3"/>
  <c r="C20" i="3"/>
  <c r="D19" i="3"/>
  <c r="G50" i="1"/>
  <c r="D50" i="3" s="1"/>
  <c r="D18" i="3"/>
  <c r="D20" i="3"/>
  <c r="C19" i="3"/>
  <c r="F50" i="1"/>
  <c r="C48" i="3"/>
  <c r="J48" i="1"/>
  <c r="F52" i="1"/>
  <c r="H38" i="1"/>
  <c r="E37" i="3" s="1"/>
  <c r="H45" i="1"/>
  <c r="H19" i="1"/>
  <c r="G68" i="1"/>
  <c r="G113" i="1"/>
  <c r="C49" i="3"/>
  <c r="G45" i="1"/>
  <c r="G19" i="1"/>
  <c r="F68" i="1"/>
  <c r="D22" i="3"/>
  <c r="G38" i="1"/>
  <c r="D37" i="3" s="1"/>
  <c r="F113" i="1"/>
  <c r="C47" i="3"/>
  <c r="D76" i="1"/>
  <c r="D91" i="1" s="1"/>
  <c r="C76" i="1"/>
  <c r="C91" i="1" s="1"/>
  <c r="C109" i="1" l="1"/>
  <c r="G32" i="1"/>
  <c r="C50" i="3"/>
  <c r="J50" i="1"/>
  <c r="D109" i="1"/>
  <c r="H32" i="1"/>
  <c r="F31" i="1"/>
  <c r="C30" i="3" s="1"/>
  <c r="D49" i="3"/>
  <c r="K49" i="1"/>
  <c r="D47" i="3"/>
  <c r="K47" i="1"/>
  <c r="L49" i="1"/>
  <c r="E49" i="3"/>
  <c r="E47" i="3"/>
  <c r="L47" i="1"/>
  <c r="H31" i="1" l="1"/>
  <c r="E30" i="3" s="1"/>
  <c r="E31" i="3"/>
  <c r="D31" i="3"/>
  <c r="G31" i="1"/>
  <c r="D30" i="3" s="1"/>
  <c r="L48" i="1"/>
  <c r="K50" i="1"/>
  <c r="L50" i="1"/>
  <c r="K48" i="1"/>
</calcChain>
</file>

<file path=xl/sharedStrings.xml><?xml version="1.0" encoding="utf-8"?>
<sst xmlns="http://schemas.openxmlformats.org/spreadsheetml/2006/main" count="237" uniqueCount="206">
  <si>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</si>
  <si>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</si>
  <si>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</si>
  <si>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</si>
  <si>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</si>
  <si>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</si>
  <si>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</si>
  <si>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</si>
  <si>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</si>
  <si>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</si>
  <si>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</si>
  <si>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</si>
  <si>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</si>
  <si>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</si>
  <si>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</si>
  <si>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</si>
  <si>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</si>
  <si>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</si>
  <si>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</si>
  <si>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</si>
  <si>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</si>
  <si>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</si>
  <si>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</si>
  <si>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</si>
  <si>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</si>
  <si>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</si>
  <si>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</si>
  <si>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</si>
  <si>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</si>
  <si>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</si>
  <si>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</si>
  <si>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</si>
  <si>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</si>
  <si>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</si>
  <si>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</si>
  <si>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</si>
  <si>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</si>
  <si>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</si>
  <si>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</si>
  <si>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</si>
  <si>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</si>
  <si>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</si>
  <si>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</si>
  <si>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</si>
  <si>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</si>
  <si>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</si>
  <si>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</si>
  <si>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</si>
  <si>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</si>
  <si>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</si>
  <si>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</si>
  <si>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</si>
  <si>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</si>
  <si>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</si>
  <si>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</si>
  <si>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</si>
  <si>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</si>
  <si>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</si>
  <si>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</si>
  <si>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</si>
  <si>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</si>
  <si>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</si>
  <si>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</si>
  <si>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</si>
  <si>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</si>
  <si>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</si>
  <si>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</si>
  <si>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</si>
  <si>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</si>
  <si>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</si>
  <si>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</si>
  <si>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</si>
  <si>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</si>
  <si>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</si>
  <si>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</si>
  <si>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</si>
  <si>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</si>
  <si>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</si>
  <si>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</si>
  <si>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</si>
  <si>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</si>
  <si>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</si>
  <si>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</si>
  <si>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</si>
  <si>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</si>
  <si>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</si>
  <si>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</si>
  <si>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</si>
  <si>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</si>
  <si>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</si>
  <si>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</si>
  <si>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</si>
  <si>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</si>
  <si>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</si>
  <si>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</si>
  <si>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</si>
  <si>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</si>
  <si>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</si>
  <si>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</si>
  <si>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</si>
  <si>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</si>
  <si>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</si>
  <si>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</si>
  <si>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</si>
  <si>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</si>
  <si>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</si>
  <si>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</si>
  <si>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</si>
  <si>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</si>
  <si>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</si>
  <si>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</si>
  <si>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</si>
  <si>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</si>
  <si>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</si>
  <si>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</si>
  <si>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</si>
  <si>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</si>
  <si>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</si>
  <si>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</si>
  <si>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</si>
  <si>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</si>
  <si>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</si>
  <si>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</si>
  <si>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</si>
  <si>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</si>
  <si>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</si>
  <si>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</si>
  <si>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</si>
  <si>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</si>
  <si>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</si>
  <si>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</si>
  <si>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</si>
  <si>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</si>
  <si>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</si>
  <si>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</si>
  <si>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</si>
  <si>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</si>
  <si>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</si>
  <si>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</si>
  <si>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</si>
  <si>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</si>
  <si>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</si>
  <si>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</si>
  <si>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</si>
  <si>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</si>
  <si>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</si>
  <si>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</si>
  <si>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</si>
  <si>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</si>
  <si>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</si>
  <si>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Daily Operational Expense:</t>
  </si>
  <si>
    <t>Average Inventory</t>
  </si>
  <si>
    <t>average receivables</t>
  </si>
  <si>
    <t>Not sure how to calculate net credit sales</t>
  </si>
  <si>
    <t>^</t>
  </si>
  <si>
    <t>SOLVENCY / DEBT</t>
  </si>
  <si>
    <t>NET WORKING CAPITAL:</t>
  </si>
  <si>
    <t>ASSET UTILIZATION</t>
  </si>
  <si>
    <t>INVESTOR/MARKET RATIOS</t>
  </si>
  <si>
    <t>PERCENTAGES</t>
  </si>
  <si>
    <t>NET SALES</t>
  </si>
  <si>
    <t>PRODUCTS</t>
  </si>
  <si>
    <t>SERVICES</t>
  </si>
  <si>
    <t>GROSS MARGIN</t>
  </si>
  <si>
    <t>R AND D</t>
  </si>
  <si>
    <t>SELLING,GENERAL</t>
  </si>
  <si>
    <t>TOTAL OPERATING COSTS</t>
  </si>
  <si>
    <t>OPERATING INCOME</t>
  </si>
  <si>
    <t>NET PROFIT MARGIN</t>
  </si>
  <si>
    <t>CURRENT ASSETS</t>
  </si>
  <si>
    <t>NON CURRENT ASSETS</t>
  </si>
  <si>
    <t>TOTAL ASSETS</t>
  </si>
  <si>
    <t>CURRENT LIABILITIES</t>
  </si>
  <si>
    <t>NON CURRENT LIABILITIES</t>
  </si>
  <si>
    <t>TOTAL LIABILITIES</t>
  </si>
  <si>
    <t>SHARE HOLDER EQUITY</t>
  </si>
  <si>
    <t>TOTAL LIABILITIES+SHARE HOLDER EQUITY</t>
  </si>
  <si>
    <t>COGS</t>
  </si>
  <si>
    <t>GROSS PROFIT</t>
  </si>
  <si>
    <t>SELLING</t>
  </si>
  <si>
    <t>TOTAL OPERATING EXPENSE</t>
  </si>
  <si>
    <t>NET PROFIT</t>
  </si>
  <si>
    <t>INCOME TAX RATE</t>
  </si>
  <si>
    <t>CAPEX% OF SALES</t>
  </si>
  <si>
    <t>CAPEX% OF FIXED ASSETS</t>
  </si>
  <si>
    <t>Current Assets / Daily Operational Expenses where Daily Operational Expenses = (Annual Operating Expenses - Noncash Charges) / 365</t>
  </si>
  <si>
    <t>(Accounts Receivable / Total Net Sales) x 365</t>
  </si>
  <si>
    <t>Inventory Days + Receivable Days - Payable Days</t>
  </si>
  <si>
    <t>Do not multiply number by 100, use % formatting instead</t>
  </si>
  <si>
    <t>Operating Income</t>
  </si>
  <si>
    <t>Operating Income + Depreciation &amp; Amortization</t>
  </si>
  <si>
    <t>Include only the non-current part of term debt. Current portion of term debt is not considered as long term debt.</t>
  </si>
  <si>
    <t>Include only the non-current part of term debt. Current portion of term debt is not considered as long term debt. Equity = Total shareholder equity in balance sheet</t>
  </si>
  <si>
    <t>EBIT / Interest Expense</t>
  </si>
  <si>
    <t>Net Operating Income/ (Interest + Debt repayment) debt repayment ca be found at the bottom of cash flow</t>
  </si>
  <si>
    <t>Cash from operations + Capex + Net debt issued (Capex and debt issued also can be found in cash flow statement)</t>
  </si>
  <si>
    <t>Share Price / EPS</t>
  </si>
  <si>
    <t>Note that the income statement is in millions while the share count is in absolute value, therefore, please divide the share count by 1,000</t>
  </si>
  <si>
    <t>Total Shareholder Equity  / Total Diluted Shares Outstanding</t>
  </si>
  <si>
    <t>Dividend Paid (can be found in cash flow statement)/  Diluted number of common Shares</t>
  </si>
  <si>
    <t>EBIT/(Long term debt + Equity)</t>
  </si>
  <si>
    <t>If you are not calculate average accounts receivables and payables, then don't calculate average for inventory. Use the annual balance sheet value to maintain consistency.</t>
  </si>
  <si>
    <t>Feedback</t>
  </si>
  <si>
    <t>Link debt repayment with - sign to make it positive</t>
  </si>
  <si>
    <t>Link dividend paid with - sign to make the value positive. Note that the income statement is in millions while the share count is in absolute value, therefore, please divide the share count by 1,000</t>
  </si>
  <si>
    <t>Link capex with - sing to make the value positive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</si>
</sst>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00"/>
    <numFmt numFmtId="168" formatCode="_-* #,##0_-;\-* #,##0_-;_-* &quot;-&quot;??_-;_-@_-"/>
    <numFmt numFmtId="169" formatCode="_-* #,##0.000_-;\-* #,##0.000_-;_-* &quot;-&quot;??_-;_-@_-"/>
    <numFmt numFmtId="170" formatCode="_-* #,##0.0000_-;\-* #,##0.0000_-;_-* &quot;-&quot;??_-;_-@_-"/>
    <numFmt numFmtId="171" formatCode="_-* #,##0.000000_-;\-* #,##0.000000_-;_-* &quot;-&quot;??_-;_-@_-"/>
    <numFmt numFmtId="172" formatCode="0.000000"/>
    <numFmt numFmtId="173" formatCode="_(* #,##0.0_);_(* \(#,##0.0\);_(* &quot;-&quot;??_);_(@_)"/>
    <numFmt numFmtId="174" formatCode="_(* #,##0.000_);_(* \(#,##0.000\);_(* &quot;-&quot;??_);_(@_)"/>
    <numFmt numFmtId="175" formatCode="_(* #,##0.0000000_);_(* \(#,##0.00000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7" fontId="0" fillId="0" borderId="0" xfId="0" applyNumberFormat="1"/>
    <xf numFmtId="165" fontId="2" fillId="0" borderId="0" xfId="0" applyNumberFormat="1" applyFont="1"/>
    <xf numFmtId="43" fontId="0" fillId="0" borderId="0" xfId="0" applyNumberFormat="1"/>
    <xf numFmtId="0" fontId="2" fillId="0" borderId="0" xfId="0" applyFont="1" applyAlignment="1">
      <alignment horizontal="center"/>
    </xf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171" fontId="0" fillId="0" borderId="0" xfId="0" applyNumberFormat="1"/>
    <xf numFmtId="172" fontId="0" fillId="0" borderId="0" xfId="0" applyNumberFormat="1"/>
    <xf numFmtId="1" fontId="0" fillId="0" borderId="0" xfId="0" applyNumberFormat="1"/>
    <xf numFmtId="173" fontId="0" fillId="0" borderId="0" xfId="0" applyNumberFormat="1"/>
    <xf numFmtId="0" fontId="8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74" fontId="0" fillId="0" borderId="0" xfId="0" applyNumberFormat="1"/>
    <xf numFmtId="175" fontId="0" fillId="0" borderId="0" xfId="0" applyNumberFormat="1"/>
    <xf numFmtId="10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12" zoomScale="150" zoomScaleNormal="150" workbookViewId="0">
      <selection activeCell="A27" sqref="A27"/>
    </sheetView>
  </sheetViews>
  <sheetFormatPr defaultColWidth="8.85546875" defaultRowHeight="15" x14ac:dyDescent="0.25"/>
  <cols>
    <col min="1" max="1" width="104.42578125" customWidth="1"/>
  </cols>
  <sheetData>
    <row r="1" spans="1:1" ht="23.25" x14ac:dyDescent="0.35">
      <c r="A1" s="5" t="s">
        <v>87</v>
      </c>
    </row>
    <row r="3" spans="1:1" x14ac:dyDescent="0.25">
      <c r="A3" s="7" t="s">
        <v>141</v>
      </c>
    </row>
    <row r="4" spans="1:1" x14ac:dyDescent="0.25">
      <c r="A4" s="16" t="s">
        <v>88</v>
      </c>
    </row>
    <row r="5" spans="1:1" x14ac:dyDescent="0.25">
      <c r="A5" s="7" t="s">
        <v>97</v>
      </c>
    </row>
    <row r="6" spans="1:1" x14ac:dyDescent="0.25">
      <c r="A6" s="1" t="s">
        <v>148</v>
      </c>
    </row>
    <row r="7" spans="1:1" x14ac:dyDescent="0.25">
      <c r="A7" s="1"/>
    </row>
    <row r="8" spans="1:1" x14ac:dyDescent="0.25">
      <c r="A8" s="17" t="s">
        <v>149</v>
      </c>
    </row>
    <row r="9" spans="1:1" x14ac:dyDescent="0.25">
      <c r="A9" s="1" t="s">
        <v>145</v>
      </c>
    </row>
    <row r="10" spans="1:1" x14ac:dyDescent="0.25">
      <c r="A10" s="1" t="s">
        <v>89</v>
      </c>
    </row>
    <row r="11" spans="1:1" x14ac:dyDescent="0.25">
      <c r="A11" s="1" t="s">
        <v>90</v>
      </c>
    </row>
    <row r="12" spans="1:1" x14ac:dyDescent="0.25">
      <c r="A12" s="1" t="s">
        <v>91</v>
      </c>
    </row>
    <row r="13" spans="1:1" x14ac:dyDescent="0.25">
      <c r="A13" s="1"/>
    </row>
    <row r="14" spans="1:1" x14ac:dyDescent="0.25">
      <c r="A14" s="17" t="s">
        <v>92</v>
      </c>
    </row>
    <row r="15" spans="1:1" x14ac:dyDescent="0.25">
      <c r="A15" s="1" t="s">
        <v>146</v>
      </c>
    </row>
    <row r="16" spans="1:1" x14ac:dyDescent="0.25">
      <c r="A16" s="1" t="s">
        <v>89</v>
      </c>
    </row>
    <row r="17" spans="1:1" x14ac:dyDescent="0.25">
      <c r="A17" s="1" t="s">
        <v>90</v>
      </c>
    </row>
    <row r="18" spans="1:1" x14ac:dyDescent="0.25">
      <c r="A18" s="1" t="s">
        <v>14</v>
      </c>
    </row>
    <row r="19" spans="1:1" x14ac:dyDescent="0.25">
      <c r="A19" s="1" t="s">
        <v>93</v>
      </c>
    </row>
    <row r="20" spans="1:1" x14ac:dyDescent="0.25">
      <c r="A20" s="1"/>
    </row>
    <row r="21" spans="1:1" x14ac:dyDescent="0.25">
      <c r="A21" s="17" t="s">
        <v>98</v>
      </c>
    </row>
    <row r="22" spans="1:1" x14ac:dyDescent="0.25">
      <c r="A22" s="1" t="s">
        <v>94</v>
      </c>
    </row>
    <row r="23" spans="1:1" x14ac:dyDescent="0.25">
      <c r="A23" s="1" t="s">
        <v>95</v>
      </c>
    </row>
    <row r="24" spans="1:1" x14ac:dyDescent="0.25">
      <c r="A24" s="1" t="s">
        <v>96</v>
      </c>
    </row>
    <row r="25" spans="1:1" x14ac:dyDescent="0.25">
      <c r="A25" s="1"/>
    </row>
    <row r="26" spans="1:1" x14ac:dyDescent="0.25">
      <c r="A26" s="17" t="s">
        <v>144</v>
      </c>
    </row>
    <row r="27" spans="1:1" x14ac:dyDescent="0.25">
      <c r="A27" s="16" t="s">
        <v>143</v>
      </c>
    </row>
    <row r="29" spans="1:1" x14ac:dyDescent="0.25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4"/>
  <sheetViews>
    <sheetView topLeftCell="A68" zoomScaleNormal="100" workbookViewId="0">
      <selection activeCell="C96" sqref="C96 C47"/>
    </sheetView>
  </sheetViews>
  <sheetFormatPr defaultColWidth="8.85546875" defaultRowHeight="15" x14ac:dyDescent="0.25"/>
  <cols>
    <col min="1" max="1" width="59" customWidth="1"/>
    <col min="2" max="3" width="11.42578125" bestFit="1" customWidth="1"/>
    <col min="4" max="4" width="11.7109375" bestFit="1" customWidth="1"/>
    <col min="5" max="5" width="13" bestFit="1" customWidth="1"/>
    <col min="6" max="6" width="25.5703125" bestFit="1" customWidth="1"/>
    <col min="7" max="8" width="16.7109375" bestFit="1" customWidth="1"/>
    <col min="9" max="9" width="11.7109375" bestFit="1" customWidth="1"/>
  </cols>
  <sheetData>
    <row r="1" spans="1:11" ht="60" customHeight="1" x14ac:dyDescent="0.2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1" x14ac:dyDescent="0.25">
      <c r="A2" s="43" t="s">
        <v>1</v>
      </c>
      <c r="B2" s="43"/>
      <c r="C2" s="43"/>
      <c r="D2" s="43"/>
    </row>
    <row r="3" spans="1:11" x14ac:dyDescent="0.25">
      <c r="B3" s="42" t="s">
        <v>23</v>
      </c>
      <c r="C3" s="42"/>
      <c r="D3" s="42"/>
      <c r="F3" t="s">
        <v>99</v>
      </c>
      <c r="J3" t="s">
        <v>159</v>
      </c>
    </row>
    <row r="4" spans="1:11" x14ac:dyDescent="0.25">
      <c r="B4" s="7">
        <v>2022</v>
      </c>
      <c r="C4" s="7">
        <v>2021</v>
      </c>
      <c r="D4" s="7">
        <v>2020</v>
      </c>
      <c r="F4">
        <f>B42/B56</f>
        <v>0.87935602862672257</v>
      </c>
      <c r="G4">
        <f t="shared" ref="G4:H4" si="0">C42/C56</f>
        <v>1.0745531195957954</v>
      </c>
      <c r="H4">
        <f t="shared" si="0"/>
        <v>1.3636044481554577</v>
      </c>
    </row>
    <row r="5" spans="1:11" x14ac:dyDescent="0.25">
      <c r="A5" t="s">
        <v>3</v>
      </c>
      <c r="F5" s="28">
        <f>(B36+B37+B38)/B56</f>
        <v>0.49673338442155579</v>
      </c>
      <c r="G5" s="28">
        <f t="shared" ref="G5:H5" si="1">(C36+C37+C38)/C56</f>
        <v>0.70860927152317876</v>
      </c>
      <c r="H5" s="28">
        <f t="shared" si="1"/>
        <v>1.0158550933657204</v>
      </c>
      <c r="J5">
        <f t="shared" ref="J5:K7" si="2">(B6-C6)/C6</f>
        <v>6.3239764351428418E-2</v>
      </c>
      <c r="K5">
        <f t="shared" si="2"/>
        <v>0.34720743656765435</v>
      </c>
    </row>
    <row r="6" spans="1:11" x14ac:dyDescent="0.25">
      <c r="A6" s="1" t="s">
        <v>4</v>
      </c>
      <c r="B6" s="12">
        <v>316199</v>
      </c>
      <c r="C6" s="12">
        <v>297392</v>
      </c>
      <c r="D6" s="12">
        <v>220747</v>
      </c>
      <c r="F6" s="25">
        <f>B36/B56</f>
        <v>0.15356340351469652</v>
      </c>
      <c r="G6" s="25">
        <f t="shared" ref="G6:H6" si="3">C36/C56</f>
        <v>0.27844853005634318</v>
      </c>
      <c r="H6" s="25">
        <f t="shared" si="3"/>
        <v>0.36071049035979963</v>
      </c>
      <c r="J6">
        <f t="shared" si="2"/>
        <v>0.14181951041286078</v>
      </c>
      <c r="K6">
        <f t="shared" si="2"/>
        <v>0.27259708376729652</v>
      </c>
    </row>
    <row r="7" spans="1:11" x14ac:dyDescent="0.25">
      <c r="A7" s="1" t="s">
        <v>5</v>
      </c>
      <c r="B7" s="12">
        <v>78129</v>
      </c>
      <c r="C7" s="12">
        <v>68425</v>
      </c>
      <c r="D7" s="12">
        <v>53768</v>
      </c>
      <c r="E7" t="s">
        <v>150</v>
      </c>
      <c r="F7" s="28">
        <f>(B17-B79)/365</f>
        <v>110.24931506849315</v>
      </c>
      <c r="G7" s="28">
        <f t="shared" ref="G7:H7" si="4">(C17-C79)/365</f>
        <v>89.323287671232876</v>
      </c>
      <c r="H7" s="28">
        <f t="shared" si="4"/>
        <v>75.649315068493152</v>
      </c>
      <c r="J7">
        <f t="shared" si="2"/>
        <v>7.7937876041846058E-2</v>
      </c>
      <c r="K7">
        <f t="shared" si="2"/>
        <v>0.33259384733074693</v>
      </c>
    </row>
    <row r="8" spans="1:11" x14ac:dyDescent="0.25">
      <c r="A8" s="8" t="s">
        <v>6</v>
      </c>
      <c r="B8" s="13">
        <f>+B6+B7</f>
        <v>394328</v>
      </c>
      <c r="C8" s="13">
        <f>+C6+C7</f>
        <v>365817</v>
      </c>
      <c r="D8" s="13">
        <f>+D6+D7</f>
        <v>274515</v>
      </c>
      <c r="E8" s="24"/>
      <c r="F8" s="24">
        <f t="shared" ref="F8:H8" si="5">B42/F7</f>
        <v>1228.1708953554833</v>
      </c>
      <c r="G8" s="24">
        <f t="shared" si="5"/>
        <v>1509.5279575499187</v>
      </c>
      <c r="H8" s="24">
        <f t="shared" si="5"/>
        <v>1899.7263870780819</v>
      </c>
    </row>
    <row r="9" spans="1:11" x14ac:dyDescent="0.25">
      <c r="A9" t="s">
        <v>7</v>
      </c>
      <c r="B9" s="12"/>
      <c r="C9" s="12"/>
      <c r="D9" s="12"/>
      <c r="E9" t="s">
        <v>151</v>
      </c>
      <c r="F9" s="28">
        <f>(C39+B39)/2</f>
        <v>5763</v>
      </c>
      <c r="G9" s="28">
        <f t="shared" ref="G9" si="6">(D39+C39)/2</f>
        <v>5320.5</v>
      </c>
      <c r="H9" s="28"/>
      <c r="J9" s="23">
        <f>(B13-C13)/C13</f>
        <v>0.11741997958596143</v>
      </c>
      <c r="K9" s="23">
        <f>(C13-D13)/D13</f>
        <v>0.45619116582186819</v>
      </c>
    </row>
    <row r="10" spans="1:11" x14ac:dyDescent="0.25">
      <c r="A10" s="1" t="s">
        <v>4</v>
      </c>
      <c r="B10" s="12">
        <v>201471</v>
      </c>
      <c r="C10" s="12">
        <v>192266</v>
      </c>
      <c r="D10" s="12">
        <v>151286</v>
      </c>
      <c r="F10" s="23">
        <f>(B39/B12)*365</f>
        <v>8.0756980666171607</v>
      </c>
      <c r="G10" s="23">
        <f t="shared" ref="G10:H10" si="7">(C39/C12)*365</f>
        <v>11.27659274770989</v>
      </c>
      <c r="H10" s="23">
        <f t="shared" si="7"/>
        <v>8.7418833562358831</v>
      </c>
    </row>
    <row r="11" spans="1:11" x14ac:dyDescent="0.25">
      <c r="A11" s="1" t="s">
        <v>5</v>
      </c>
      <c r="B11" s="12">
        <v>22075</v>
      </c>
      <c r="C11" s="12">
        <v>20715</v>
      </c>
      <c r="D11" s="12">
        <v>18273</v>
      </c>
      <c r="F11">
        <f>(B51*365)/B12</f>
        <v>104.68527730310539</v>
      </c>
      <c r="G11">
        <f t="shared" ref="G11:H11" si="8">(C51*365)/C12</f>
        <v>93.85107122231561</v>
      </c>
      <c r="H11">
        <f t="shared" si="8"/>
        <v>91.048189715674184</v>
      </c>
      <c r="J11">
        <f t="shared" ref="J11:K13" si="9">(B15-C15)/C15</f>
        <v>0.19791001186456147</v>
      </c>
      <c r="K11">
        <f t="shared" si="9"/>
        <v>0.16862201365187712</v>
      </c>
    </row>
    <row r="12" spans="1:11" x14ac:dyDescent="0.25">
      <c r="A12" s="8" t="s">
        <v>8</v>
      </c>
      <c r="B12" s="13">
        <f>+B10+B11</f>
        <v>223546</v>
      </c>
      <c r="C12" s="13">
        <f>+C10+C11</f>
        <v>212981</v>
      </c>
      <c r="D12" s="13">
        <f>+D10+D11</f>
        <v>169559</v>
      </c>
      <c r="E12" t="s">
        <v>152</v>
      </c>
      <c r="F12" s="23">
        <f>(B38+C38)/2</f>
        <v>27231</v>
      </c>
      <c r="G12" s="23">
        <f t="shared" ref="G12:H12" si="10">(C38+D38)/2</f>
        <v>21199</v>
      </c>
      <c r="H12" s="23">
        <f t="shared" si="10"/>
        <v>8060</v>
      </c>
      <c r="J12">
        <f t="shared" si="9"/>
        <v>0.14203795567287125</v>
      </c>
      <c r="K12">
        <f t="shared" si="9"/>
        <v>0.10328379192608958</v>
      </c>
    </row>
    <row r="13" spans="1:11" x14ac:dyDescent="0.25">
      <c r="A13" s="8" t="s">
        <v>9</v>
      </c>
      <c r="B13" s="13">
        <f>+B8-B12</f>
        <v>170782</v>
      </c>
      <c r="C13" s="13">
        <f>+C8-C12</f>
        <v>152836</v>
      </c>
      <c r="D13" s="13">
        <f>+D8-D12</f>
        <v>104956</v>
      </c>
      <c r="E13" s="25"/>
      <c r="F13" s="25">
        <f>B38/B8*365</f>
        <v>26.087825363656648</v>
      </c>
      <c r="G13" s="25">
        <f t="shared" ref="G13:H13" si="11">C38/C8</f>
        <v>7.1833731073186871E-2</v>
      </c>
      <c r="H13" s="25">
        <f t="shared" si="11"/>
        <v>5.8721745624100687E-2</v>
      </c>
      <c r="J13">
        <f t="shared" si="9"/>
        <v>0.16993642764372138</v>
      </c>
      <c r="K13">
        <f t="shared" si="9"/>
        <v>0.13496948381090307</v>
      </c>
    </row>
    <row r="14" spans="1:11" x14ac:dyDescent="0.25">
      <c r="A14" t="s">
        <v>10</v>
      </c>
      <c r="B14" s="12"/>
      <c r="C14" s="12"/>
      <c r="D14" s="12"/>
      <c r="F14" s="23">
        <f>B38/B8*100</f>
        <v>7.1473494147004519</v>
      </c>
      <c r="G14" s="23">
        <f t="shared" ref="G14:H14" si="12">G15/C8*100</f>
        <v>2.0895045338906452E-2</v>
      </c>
      <c r="H14" s="23">
        <f t="shared" si="12"/>
        <v>2.0336872962650628E-2</v>
      </c>
    </row>
    <row r="15" spans="1:11" x14ac:dyDescent="0.25">
      <c r="A15" s="1" t="s">
        <v>11</v>
      </c>
      <c r="B15" s="12">
        <v>26251</v>
      </c>
      <c r="C15" s="12">
        <v>21914</v>
      </c>
      <c r="D15" s="12">
        <v>18752</v>
      </c>
      <c r="F15" s="23">
        <f>(B38/B56)*365</f>
        <v>66.80754893429102</v>
      </c>
      <c r="G15" s="23">
        <f t="shared" ref="G15:H15" si="13">(C38/C56)*365</f>
        <v>76.437628007427421</v>
      </c>
      <c r="H15" s="23">
        <f t="shared" si="13"/>
        <v>55.827766813420375</v>
      </c>
      <c r="J15">
        <f>(B18-C18)/C18</f>
        <v>9.6265225013538444E-2</v>
      </c>
      <c r="K15">
        <f>(C18-D18)/D18</f>
        <v>0.64357048032826458</v>
      </c>
    </row>
    <row r="16" spans="1:11" x14ac:dyDescent="0.25">
      <c r="A16" s="1" t="s">
        <v>12</v>
      </c>
      <c r="B16" s="12">
        <v>25094</v>
      </c>
      <c r="C16" s="12">
        <v>21973</v>
      </c>
      <c r="D16" s="12">
        <v>19916</v>
      </c>
    </row>
    <row r="17" spans="1:12" x14ac:dyDescent="0.25">
      <c r="A17" s="8" t="s">
        <v>13</v>
      </c>
      <c r="B17" s="13">
        <f>+B15+B16</f>
        <v>51345</v>
      </c>
      <c r="C17" s="13">
        <f>+C15+C16</f>
        <v>43887</v>
      </c>
      <c r="D17" s="13">
        <f>+D15+D16</f>
        <v>38668</v>
      </c>
      <c r="E17" s="26"/>
      <c r="F17" s="26" t="s">
        <v>110</v>
      </c>
      <c r="J17">
        <f>(B22-C22)/C22</f>
        <v>5.4108576256865229E-2</v>
      </c>
      <c r="K17">
        <f>(C22-D22)/D22</f>
        <v>0.64916131055024295</v>
      </c>
    </row>
    <row r="18" spans="1:12" s="7" customFormat="1" x14ac:dyDescent="0.25">
      <c r="A18" s="8" t="s">
        <v>14</v>
      </c>
      <c r="B18" s="13">
        <f>+B13-B17</f>
        <v>119437</v>
      </c>
      <c r="C18" s="13">
        <f>+C13-C17</f>
        <v>108949</v>
      </c>
      <c r="D18" s="13">
        <f>+D13-D17</f>
        <v>66288</v>
      </c>
      <c r="E18" s="27"/>
      <c r="F18" s="27">
        <f>((B8-B12)/B8)</f>
        <v>0.43309630561360085</v>
      </c>
      <c r="G18" s="27">
        <f t="shared" ref="G18:H18" si="14">((C8-C12)/C8)</f>
        <v>0.41779359625167778</v>
      </c>
      <c r="H18" s="27">
        <f t="shared" si="14"/>
        <v>0.38233247727810865</v>
      </c>
    </row>
    <row r="19" spans="1:12" x14ac:dyDescent="0.25">
      <c r="A19" t="s">
        <v>15</v>
      </c>
      <c r="B19" s="12">
        <v>-334</v>
      </c>
      <c r="C19" s="12">
        <v>258</v>
      </c>
      <c r="D19" s="12">
        <v>803</v>
      </c>
      <c r="E19" s="28"/>
      <c r="F19" s="28">
        <f>(B18+B79)/B8</f>
        <v>0.3310467428130896</v>
      </c>
      <c r="G19" s="28">
        <f t="shared" ref="G19:H19" si="15">(C22+C113+C114+C79)/C8</f>
        <v>0.36640178012503521</v>
      </c>
      <c r="H19" s="28">
        <f t="shared" si="15"/>
        <v>0.29495655975083329</v>
      </c>
      <c r="J19">
        <f>(B42-C42)/C42</f>
        <v>4.2199412619775131E-3</v>
      </c>
      <c r="K19">
        <f>(C42-D42)/D42</f>
        <v>-6.176894226687913E-2</v>
      </c>
    </row>
    <row r="20" spans="1:12" x14ac:dyDescent="0.25">
      <c r="A20" s="8" t="s">
        <v>16</v>
      </c>
      <c r="B20" s="13">
        <f>+B18+B19</f>
        <v>119103</v>
      </c>
      <c r="C20" s="13">
        <f>+C18+C19</f>
        <v>109207</v>
      </c>
      <c r="D20" s="13">
        <f>+D18+D19</f>
        <v>67091</v>
      </c>
      <c r="E20" s="28"/>
      <c r="F20" s="28">
        <f>B18</f>
        <v>119437</v>
      </c>
      <c r="G20" s="28">
        <f t="shared" ref="G20:H20" si="16">C18</f>
        <v>108949</v>
      </c>
      <c r="H20" s="28">
        <f t="shared" si="16"/>
        <v>66288</v>
      </c>
      <c r="J20" s="23">
        <f>(B47-C47)/C47</f>
        <v>5.4772720964443994E-3</v>
      </c>
      <c r="K20" s="23">
        <f>(C47-D47)/D47</f>
        <v>0.19975579297904814</v>
      </c>
    </row>
    <row r="21" spans="1:12" x14ac:dyDescent="0.25">
      <c r="A21" t="s">
        <v>17</v>
      </c>
      <c r="B21" s="12">
        <v>19300</v>
      </c>
      <c r="C21" s="12">
        <v>14527</v>
      </c>
      <c r="D21" s="12">
        <v>9680</v>
      </c>
      <c r="F21">
        <f>(B18)/B8</f>
        <v>0.30288744395528594</v>
      </c>
      <c r="G21">
        <f t="shared" ref="G21:H21" si="17">(C18)/C8</f>
        <v>0.29782377527561593</v>
      </c>
      <c r="H21">
        <f t="shared" si="17"/>
        <v>0.24147314354406862</v>
      </c>
      <c r="J21" s="36">
        <f>(B48-C48)/C48</f>
        <v>4.9942735369029236E-3</v>
      </c>
      <c r="K21" s="23">
        <f>(C48-D48)/D48</f>
        <v>8.3714123400681711E-2</v>
      </c>
    </row>
    <row r="22" spans="1:12" ht="15.75" thickBot="1" x14ac:dyDescent="0.3">
      <c r="A22" s="9" t="s">
        <v>18</v>
      </c>
      <c r="B22" s="14">
        <f>+B20-B21</f>
        <v>99803</v>
      </c>
      <c r="C22" s="14">
        <f>+C20-C21</f>
        <v>94680</v>
      </c>
      <c r="D22" s="14">
        <f>+D20-D21</f>
        <v>57411</v>
      </c>
      <c r="E22" s="25"/>
      <c r="F22" s="25">
        <f>(B18+B79)</f>
        <v>130541</v>
      </c>
      <c r="G22" s="25">
        <f t="shared" ref="G22:H22" si="18">(C18+C79)</f>
        <v>120233</v>
      </c>
      <c r="H22" s="25">
        <f t="shared" si="18"/>
        <v>77344</v>
      </c>
      <c r="J22">
        <f>(B56-C56)/C56</f>
        <v>0.22713398841258836</v>
      </c>
      <c r="K22">
        <f>(C56-D56)/D56</f>
        <v>0.19061219067860938</v>
      </c>
    </row>
    <row r="23" spans="1:12" ht="15.75" thickTop="1" x14ac:dyDescent="0.25">
      <c r="A23" t="s">
        <v>19</v>
      </c>
      <c r="F23">
        <f>B22/B8*100</f>
        <v>25.309640705199733</v>
      </c>
      <c r="G23">
        <f t="shared" ref="G23:H23" si="19">C22/C8*100</f>
        <v>25.881793355694239</v>
      </c>
      <c r="H23">
        <f t="shared" si="19"/>
        <v>20.913611278072235</v>
      </c>
      <c r="J23">
        <f>(B61-C61)/C61</f>
        <v>-8.8222075835277747E-2</v>
      </c>
      <c r="K23">
        <f>(C61-D61)/D61</f>
        <v>6.0552243775994566E-2</v>
      </c>
    </row>
    <row r="24" spans="1:12" x14ac:dyDescent="0.25">
      <c r="A24" s="1" t="s">
        <v>20</v>
      </c>
      <c r="B24" s="10">
        <v>6.15</v>
      </c>
      <c r="C24" s="10">
        <v>5.67</v>
      </c>
      <c r="D24" s="10">
        <v>3.31</v>
      </c>
      <c r="J24">
        <f>(B62-C62)/C62</f>
        <v>4.9219900525160468E-2</v>
      </c>
      <c r="K24">
        <f>(C62-D62)/D62</f>
        <v>0.11356841449783213</v>
      </c>
    </row>
    <row r="25" spans="1:12" x14ac:dyDescent="0.25">
      <c r="A25" s="1" t="s">
        <v>21</v>
      </c>
      <c r="B25" s="10">
        <v>6.11</v>
      </c>
      <c r="C25" s="10">
        <v>5.61</v>
      </c>
      <c r="D25" s="10">
        <v>3.28</v>
      </c>
      <c r="F25" t="s">
        <v>155</v>
      </c>
      <c r="J25">
        <f>(B68-C68)/C68</f>
        <v>-0.19682992550324932</v>
      </c>
      <c r="K25">
        <f>(C68-D68)/D68</f>
        <v>-3.4420483937617659E-2</v>
      </c>
    </row>
    <row r="26" spans="1:12" x14ac:dyDescent="0.25">
      <c r="A26" t="s">
        <v>22</v>
      </c>
      <c r="F26" s="36">
        <f>(B59)/B68</f>
        <v>1.9529325860435744</v>
      </c>
      <c r="G26" s="36">
        <f t="shared" ref="G26:H26" si="20">(C59)/C68</f>
        <v>1.729370740212395</v>
      </c>
      <c r="H26" s="36">
        <f t="shared" si="20"/>
        <v>1.5100782075024104</v>
      </c>
      <c r="J26">
        <f>(B69-C69)/C69</f>
        <v>4.9942735369029236E-3</v>
      </c>
      <c r="K26">
        <f>(C69-D69)/D69</f>
        <v>8.3714123400681711E-2</v>
      </c>
    </row>
    <row r="27" spans="1:12" x14ac:dyDescent="0.25">
      <c r="A27" s="1" t="s">
        <v>20</v>
      </c>
      <c r="B27" s="2">
        <v>16215963</v>
      </c>
      <c r="C27" s="2">
        <v>16701272</v>
      </c>
      <c r="D27" s="2">
        <v>17352119</v>
      </c>
      <c r="F27">
        <f>(B59)/B48</f>
        <v>0.28053181386514719</v>
      </c>
      <c r="G27">
        <f t="shared" ref="G27:H27" si="21">(C55+C59)/C48</f>
        <v>0.33822884200090025</v>
      </c>
      <c r="H27">
        <f t="shared" si="21"/>
        <v>0.33171960677765155</v>
      </c>
    </row>
    <row r="28" spans="1:12" x14ac:dyDescent="0.25">
      <c r="A28" s="1" t="s">
        <v>21</v>
      </c>
      <c r="B28" s="2">
        <v>16325819</v>
      </c>
      <c r="C28" s="2">
        <v>16864919</v>
      </c>
      <c r="D28" s="2">
        <v>17528214</v>
      </c>
      <c r="F28">
        <f>B59/B45</f>
        <v>2.3496212930645584</v>
      </c>
      <c r="G28">
        <f t="shared" ref="G28:H28" si="22">C59/C45</f>
        <v>2.7663793103448278</v>
      </c>
      <c r="H28">
        <f t="shared" si="22"/>
        <v>2.683647935592667</v>
      </c>
    </row>
    <row r="29" spans="1:12" x14ac:dyDescent="0.25">
      <c r="F29" s="28">
        <f>B18/B114</f>
        <v>41.68830715532286</v>
      </c>
      <c r="G29" s="28">
        <f t="shared" ref="G29:H29" si="23">C18/C114</f>
        <v>40.546706363974693</v>
      </c>
      <c r="H29" s="28">
        <f t="shared" si="23"/>
        <v>22.081279147235175</v>
      </c>
    </row>
    <row r="30" spans="1:12" x14ac:dyDescent="0.25">
      <c r="F30">
        <f>B18/(B114+B105)</f>
        <v>-17.88514525306978</v>
      </c>
      <c r="G30">
        <f t="shared" ref="G30" si="24">C18/(C114+C105)</f>
        <v>-17.969487052614216</v>
      </c>
      <c r="H30" s="28">
        <f>D18/(D114+D105)</f>
        <v>-6.8856341539420383</v>
      </c>
    </row>
    <row r="31" spans="1:12" x14ac:dyDescent="0.25">
      <c r="A31" s="43" t="s">
        <v>24</v>
      </c>
      <c r="B31" s="43"/>
      <c r="C31" s="43"/>
      <c r="D31" s="43"/>
      <c r="F31" s="32">
        <f>F32/B28</f>
        <v>7.1609271179595953E-3</v>
      </c>
      <c r="G31" s="32">
        <f t="shared" ref="G31:H31" si="25">G32/C28</f>
        <v>6.7208149650763221E-3</v>
      </c>
      <c r="H31" s="32">
        <f t="shared" si="25"/>
        <v>5.1035433501667657E-3</v>
      </c>
    </row>
    <row r="32" spans="1:12" x14ac:dyDescent="0.25">
      <c r="B32" s="42" t="s">
        <v>142</v>
      </c>
      <c r="C32" s="42"/>
      <c r="D32" s="42"/>
      <c r="F32" s="23">
        <f>B91+B96+B104</f>
        <v>116908</v>
      </c>
      <c r="G32" s="23">
        <f t="shared" ref="G32" si="26">C91+C96+C104</f>
        <v>113346</v>
      </c>
      <c r="H32" s="23">
        <f>D91+D96+D104</f>
        <v>89456</v>
      </c>
      <c r="I32" t="s">
        <v>156</v>
      </c>
      <c r="J32" s="23">
        <f>(B38+B39)-(B51-B53)</f>
        <v>-23073</v>
      </c>
      <c r="K32" s="23">
        <f t="shared" ref="K32:L32" si="27">(C38+C39)-(C51-C53)</f>
        <v>-14293</v>
      </c>
      <c r="L32" s="23">
        <f t="shared" si="27"/>
        <v>-15472</v>
      </c>
    </row>
    <row r="33" spans="1:12" x14ac:dyDescent="0.25">
      <c r="B33" s="7">
        <f>+B4</f>
        <v>2022</v>
      </c>
      <c r="C33" s="7">
        <f>+C4</f>
        <v>2021</v>
      </c>
      <c r="D33" s="7">
        <f>+D4</f>
        <v>2020</v>
      </c>
      <c r="F33" s="31"/>
      <c r="G33" s="31"/>
      <c r="H33" s="31"/>
    </row>
    <row r="34" spans="1:12" x14ac:dyDescent="0.25">
      <c r="F34" t="s">
        <v>157</v>
      </c>
    </row>
    <row r="35" spans="1:12" x14ac:dyDescent="0.25">
      <c r="A35" t="s">
        <v>25</v>
      </c>
      <c r="F35">
        <f>B8/B48</f>
        <v>1.1178523337727317</v>
      </c>
      <c r="G35">
        <f t="shared" ref="G35:H35" si="28">C8/C48</f>
        <v>1.0422077367080529</v>
      </c>
      <c r="H35">
        <f t="shared" si="28"/>
        <v>0.84756150274168851</v>
      </c>
      <c r="J35">
        <f>B12/B8</f>
        <v>0.56690369438639909</v>
      </c>
      <c r="K35">
        <f t="shared" ref="K35:L35" si="29">C12/C8</f>
        <v>0.58220640374832222</v>
      </c>
      <c r="L35">
        <f t="shared" si="29"/>
        <v>0.61766752272189129</v>
      </c>
    </row>
    <row r="36" spans="1:12" x14ac:dyDescent="0.25">
      <c r="A36" s="1" t="s">
        <v>26</v>
      </c>
      <c r="B36" s="12">
        <v>23646</v>
      </c>
      <c r="C36" s="12">
        <v>34940</v>
      </c>
      <c r="D36" s="12">
        <v>38016</v>
      </c>
      <c r="E36" s="24"/>
      <c r="F36" s="24">
        <f>B8/B47</f>
        <v>1.8142535081665516</v>
      </c>
      <c r="G36" s="24">
        <f t="shared" ref="G36:H36" si="30">C8/C47</f>
        <v>1.6922966608994938</v>
      </c>
      <c r="H36" s="24">
        <f t="shared" si="30"/>
        <v>1.5236020535590398</v>
      </c>
      <c r="I36" s="23"/>
      <c r="J36">
        <f>B13/B8</f>
        <v>0.43309630561360085</v>
      </c>
      <c r="K36">
        <f t="shared" ref="K36:L36" si="31">C13/C8</f>
        <v>0.41779359625167778</v>
      </c>
      <c r="L36">
        <f t="shared" si="31"/>
        <v>0.38233247727810865</v>
      </c>
    </row>
    <row r="37" spans="1:12" x14ac:dyDescent="0.25">
      <c r="A37" s="1" t="s">
        <v>27</v>
      </c>
      <c r="B37" s="12">
        <v>24658</v>
      </c>
      <c r="C37" s="12">
        <v>27699</v>
      </c>
      <c r="D37" s="12">
        <v>52927</v>
      </c>
      <c r="F37">
        <f>B12/B39</f>
        <v>45.197331176708452</v>
      </c>
      <c r="G37">
        <f t="shared" ref="G37:H37" si="32">C12/C39</f>
        <v>32.367933130699086</v>
      </c>
      <c r="H37">
        <f t="shared" si="32"/>
        <v>41.753016498399411</v>
      </c>
      <c r="J37">
        <f>B15/B8</f>
        <v>6.657148363798665E-2</v>
      </c>
      <c r="K37">
        <f t="shared" ref="K37:L37" si="33">C15/C8</f>
        <v>5.9904269074427925E-2</v>
      </c>
      <c r="L37">
        <f t="shared" si="33"/>
        <v>6.8309564140393061E-2</v>
      </c>
    </row>
    <row r="38" spans="1:12" x14ac:dyDescent="0.25">
      <c r="A38" s="1" t="s">
        <v>28</v>
      </c>
      <c r="B38" s="12">
        <v>28184</v>
      </c>
      <c r="C38" s="12">
        <v>26278</v>
      </c>
      <c r="D38" s="12">
        <v>16120</v>
      </c>
      <c r="F38">
        <f>B22/B48</f>
        <v>0.28292440929256851</v>
      </c>
      <c r="G38">
        <f t="shared" ref="G38:H38" si="34">C22/C48</f>
        <v>0.26974205275183616</v>
      </c>
      <c r="H38">
        <f t="shared" si="34"/>
        <v>0.1772557180259843</v>
      </c>
      <c r="J38">
        <f>B16/B8</f>
        <v>6.3637378020328261E-2</v>
      </c>
      <c r="K38">
        <f t="shared" ref="K38:L38" si="35">C16/C8</f>
        <v>6.006555190163388E-2</v>
      </c>
      <c r="L38">
        <f t="shared" si="35"/>
        <v>7.2549769593646979E-2</v>
      </c>
    </row>
    <row r="39" spans="1:12" x14ac:dyDescent="0.25">
      <c r="A39" s="1" t="s">
        <v>29</v>
      </c>
      <c r="B39" s="12">
        <v>4946</v>
      </c>
      <c r="C39" s="12">
        <v>6580</v>
      </c>
      <c r="D39" s="12">
        <v>4061</v>
      </c>
      <c r="H39" s="24"/>
      <c r="I39" s="25"/>
      <c r="J39">
        <f>B17/B8</f>
        <v>0.13020886165831491</v>
      </c>
      <c r="K39">
        <f t="shared" ref="K39:L39" si="36">C17/C8</f>
        <v>0.11996982097606181</v>
      </c>
      <c r="L39">
        <f t="shared" si="36"/>
        <v>0.14085933373404003</v>
      </c>
    </row>
    <row r="40" spans="1:12" x14ac:dyDescent="0.25">
      <c r="A40" s="1" t="s">
        <v>47</v>
      </c>
      <c r="B40" s="12">
        <v>32748</v>
      </c>
      <c r="C40" s="12">
        <v>25228</v>
      </c>
      <c r="D40" s="12">
        <v>21325</v>
      </c>
      <c r="F40" t="s">
        <v>158</v>
      </c>
      <c r="J40">
        <f>B18/B8</f>
        <v>0.30288744395528594</v>
      </c>
      <c r="K40">
        <f t="shared" ref="K40:L40" si="37">C18/C8</f>
        <v>0.29782377527561593</v>
      </c>
      <c r="L40">
        <f t="shared" si="37"/>
        <v>0.24147314354406862</v>
      </c>
    </row>
    <row r="41" spans="1:12" x14ac:dyDescent="0.25">
      <c r="A41" s="1" t="s">
        <v>30</v>
      </c>
      <c r="B41" s="12">
        <v>21223</v>
      </c>
      <c r="C41" s="12">
        <v>14111</v>
      </c>
      <c r="D41" s="12">
        <v>11264</v>
      </c>
      <c r="E41" s="25"/>
      <c r="F41" s="25">
        <f>175.01/B25</f>
        <v>28.643207855973809</v>
      </c>
      <c r="G41" s="25">
        <f t="shared" ref="G41:H41" si="38">175.01/C25</f>
        <v>31.196078431372545</v>
      </c>
      <c r="H41" s="25">
        <f t="shared" si="38"/>
        <v>53.356707317073173</v>
      </c>
      <c r="J41">
        <f>B22/B8</f>
        <v>0.25309640705199732</v>
      </c>
      <c r="K41">
        <f t="shared" ref="K41:L41" si="39">C22/C8</f>
        <v>0.25881793355694238</v>
      </c>
      <c r="L41">
        <f t="shared" si="39"/>
        <v>0.20913611278072236</v>
      </c>
    </row>
    <row r="42" spans="1:12" x14ac:dyDescent="0.25">
      <c r="A42" s="8" t="s">
        <v>31</v>
      </c>
      <c r="B42" s="13">
        <f>+SUM(B36:B41)</f>
        <v>135405</v>
      </c>
      <c r="C42" s="13">
        <f>+SUM(C36:C41)</f>
        <v>134836</v>
      </c>
      <c r="D42" s="13">
        <f>+SUM(D36:D41)</f>
        <v>143713</v>
      </c>
      <c r="E42" s="24"/>
      <c r="F42" s="24">
        <f t="shared" ref="F42:H42" si="40">B25</f>
        <v>6.11</v>
      </c>
      <c r="G42" s="24">
        <f t="shared" si="40"/>
        <v>5.61</v>
      </c>
      <c r="H42" s="24">
        <f t="shared" si="40"/>
        <v>3.28</v>
      </c>
      <c r="I42" s="24"/>
      <c r="J42" s="24"/>
    </row>
    <row r="43" spans="1:12" x14ac:dyDescent="0.25">
      <c r="A43" t="s">
        <v>48</v>
      </c>
      <c r="B43" s="12"/>
      <c r="C43" s="12"/>
      <c r="D43" s="12"/>
      <c r="E43" s="24"/>
      <c r="F43" s="39">
        <f>B68/B28</f>
        <v>3.103795282797145E-3</v>
      </c>
      <c r="G43" s="39">
        <f t="shared" ref="G43:H43" si="41">C68/C28</f>
        <v>3.7409014534845971E-3</v>
      </c>
      <c r="H43" s="39">
        <f t="shared" si="41"/>
        <v>3.7276473233382478E-3</v>
      </c>
      <c r="J43" s="31"/>
      <c r="K43" s="31"/>
      <c r="L43" s="31"/>
    </row>
    <row r="44" spans="1:12" x14ac:dyDescent="0.25">
      <c r="A44" s="1" t="s">
        <v>27</v>
      </c>
      <c r="B44" s="12">
        <v>120805</v>
      </c>
      <c r="C44" s="12">
        <v>127877</v>
      </c>
      <c r="D44" s="12">
        <v>100887</v>
      </c>
      <c r="F44" s="31">
        <f>(B48-B62)/(B28/1000)</f>
        <v>3.1037952827971451</v>
      </c>
      <c r="G44" s="31">
        <f t="shared" ref="G44:H44" si="42">(C48-C62)/(C28/1000)</f>
        <v>3.740901453484597</v>
      </c>
      <c r="H44" s="31">
        <f t="shared" si="42"/>
        <v>3.7276473233382479</v>
      </c>
    </row>
    <row r="45" spans="1:12" x14ac:dyDescent="0.25">
      <c r="A45" s="1" t="s">
        <v>32</v>
      </c>
      <c r="B45" s="12">
        <v>42117</v>
      </c>
      <c r="C45" s="12">
        <v>39440</v>
      </c>
      <c r="D45" s="12">
        <v>36766</v>
      </c>
      <c r="F45">
        <f>B102/B22</f>
        <v>-0.14870294480125848</v>
      </c>
      <c r="G45">
        <f t="shared" ref="G45:H45" si="43">C102/C22</f>
        <v>-0.15279890156316012</v>
      </c>
      <c r="H45">
        <f t="shared" si="43"/>
        <v>-0.24526658654264863</v>
      </c>
      <c r="I45" s="28"/>
      <c r="J45" s="28"/>
    </row>
    <row r="46" spans="1:12" x14ac:dyDescent="0.25">
      <c r="A46" s="1" t="s">
        <v>49</v>
      </c>
      <c r="B46" s="12">
        <v>54428</v>
      </c>
      <c r="C46" s="12">
        <v>48849</v>
      </c>
      <c r="D46" s="12">
        <v>42522</v>
      </c>
      <c r="F46" s="31">
        <f>(B102)/B28</f>
        <v>-9.0905087211857485E-4</v>
      </c>
      <c r="G46" s="31">
        <f t="shared" ref="G46:H46" si="44">(C102)/C28</f>
        <v>-8.5781615672153545E-4</v>
      </c>
      <c r="H46" s="31">
        <f t="shared" si="44"/>
        <v>-8.0333341434558024E-4</v>
      </c>
    </row>
    <row r="47" spans="1:12" x14ac:dyDescent="0.25">
      <c r="A47" s="8" t="s">
        <v>50</v>
      </c>
      <c r="B47" s="13">
        <f>+SUM(B44:B46)</f>
        <v>217350</v>
      </c>
      <c r="C47" s="13">
        <f>+SUM(C44:C46)</f>
        <v>216166</v>
      </c>
      <c r="D47" s="13">
        <f>+SUM(D44:D46)</f>
        <v>180175</v>
      </c>
      <c r="F47" s="28">
        <f>B22/B68</f>
        <v>1.9695887275023682</v>
      </c>
      <c r="G47" s="28">
        <f t="shared" ref="G47:H47" si="45">C22/C68</f>
        <v>1.5007132667617689</v>
      </c>
      <c r="H47" s="28">
        <f t="shared" si="45"/>
        <v>0.87866358530127486</v>
      </c>
      <c r="J47" s="28">
        <f t="shared" ref="J47:L51" si="46">F47</f>
        <v>1.9695887275023682</v>
      </c>
      <c r="K47" s="28">
        <f t="shared" si="46"/>
        <v>1.5007132667617689</v>
      </c>
      <c r="L47" s="28">
        <f t="shared" si="46"/>
        <v>0.87866358530127486</v>
      </c>
    </row>
    <row r="48" spans="1:12" ht="15.75" thickBot="1" x14ac:dyDescent="0.3">
      <c r="A48" s="9" t="s">
        <v>33</v>
      </c>
      <c r="B48" s="14">
        <f>+B42+B47</f>
        <v>352755</v>
      </c>
      <c r="C48" s="14">
        <f>+C42+C47</f>
        <v>351002</v>
      </c>
      <c r="D48" s="14">
        <f>+D42+D47</f>
        <v>323888</v>
      </c>
      <c r="F48" s="28">
        <f>B18/(B59+B68)</f>
        <v>0.79821026391589978</v>
      </c>
      <c r="G48" s="28">
        <f t="shared" ref="G48:H48" si="47">C18/(C59+C68)</f>
        <v>0.63270343097400639</v>
      </c>
      <c r="H48" s="28">
        <f t="shared" si="47"/>
        <v>0.40418033486579757</v>
      </c>
      <c r="J48" s="28">
        <f>F48</f>
        <v>0.79821026391589978</v>
      </c>
      <c r="K48" s="28">
        <f t="shared" si="46"/>
        <v>0.63270343097400639</v>
      </c>
      <c r="L48" s="28">
        <f t="shared" si="46"/>
        <v>0.40418033486579757</v>
      </c>
    </row>
    <row r="49" spans="1:12" ht="15.75" thickTop="1" x14ac:dyDescent="0.25">
      <c r="F49" s="25">
        <f>B22/B48</f>
        <v>0.28292440929256851</v>
      </c>
      <c r="G49" s="25">
        <f t="shared" ref="G49:H49" si="48">C22/C48</f>
        <v>0.26974205275183616</v>
      </c>
      <c r="H49" s="25">
        <f t="shared" si="48"/>
        <v>0.1772557180259843</v>
      </c>
      <c r="J49" s="28">
        <f t="shared" si="46"/>
        <v>0.28292440929256851</v>
      </c>
      <c r="K49" s="28">
        <f t="shared" si="46"/>
        <v>0.26974205275183616</v>
      </c>
      <c r="L49" s="28">
        <f t="shared" si="46"/>
        <v>0.1772557180259843</v>
      </c>
    </row>
    <row r="50" spans="1:12" x14ac:dyDescent="0.25">
      <c r="A50" t="s">
        <v>34</v>
      </c>
      <c r="F50" s="28">
        <f>F51/F22</f>
        <v>22.549410401253244</v>
      </c>
      <c r="G50" s="28">
        <f t="shared" ref="G50:H50" si="49">G51/G22</f>
        <v>25.245219483752379</v>
      </c>
      <c r="H50" s="28">
        <f t="shared" si="49"/>
        <v>40.559535738260237</v>
      </c>
      <c r="J50" s="28">
        <f t="shared" si="46"/>
        <v>22.549410401253244</v>
      </c>
      <c r="K50" s="28">
        <f t="shared" si="46"/>
        <v>25.245219483752379</v>
      </c>
      <c r="L50" s="28">
        <f t="shared" si="46"/>
        <v>40.559535738260237</v>
      </c>
    </row>
    <row r="51" spans="1:12" x14ac:dyDescent="0.25">
      <c r="A51" s="1" t="s">
        <v>35</v>
      </c>
      <c r="B51" s="12">
        <v>64115</v>
      </c>
      <c r="C51" s="12">
        <v>54763</v>
      </c>
      <c r="D51" s="12">
        <v>42296</v>
      </c>
      <c r="F51" s="23">
        <f>(175.01*(B28/1000))+(B55+B59)-B36</f>
        <v>2943622.5831899997</v>
      </c>
      <c r="G51" s="23">
        <f t="shared" ref="G51:H51" si="50">(175.01*(C28/1000))+(C55+C59)-C36</f>
        <v>3035308.47419</v>
      </c>
      <c r="H51" s="23">
        <f t="shared" si="50"/>
        <v>3137036.73214</v>
      </c>
      <c r="J51" s="28">
        <f t="shared" si="46"/>
        <v>2943622.5831899997</v>
      </c>
      <c r="K51" s="28">
        <f t="shared" si="46"/>
        <v>3035308.47419</v>
      </c>
      <c r="L51" s="28">
        <f t="shared" si="46"/>
        <v>3137036.73214</v>
      </c>
    </row>
    <row r="52" spans="1:12" x14ac:dyDescent="0.25">
      <c r="A52" s="1" t="s">
        <v>36</v>
      </c>
      <c r="B52" s="12">
        <v>60845</v>
      </c>
      <c r="C52" s="12">
        <v>47493</v>
      </c>
      <c r="D52" s="12">
        <v>42684</v>
      </c>
      <c r="F52" s="25">
        <f>F22</f>
        <v>130541</v>
      </c>
    </row>
    <row r="53" spans="1:12" x14ac:dyDescent="0.25">
      <c r="A53" s="1" t="s">
        <v>37</v>
      </c>
      <c r="B53" s="12">
        <v>7912</v>
      </c>
      <c r="C53" s="12">
        <v>7612</v>
      </c>
      <c r="D53" s="12">
        <v>6643</v>
      </c>
      <c r="F53" s="33">
        <f>F46/175.01</f>
        <v>-5.1942795961292205E-6</v>
      </c>
      <c r="G53" s="33">
        <f t="shared" ref="G53:H53" si="51">G46/175.01</f>
        <v>-4.9015265226074826E-6</v>
      </c>
      <c r="H53" s="33">
        <f t="shared" si="51"/>
        <v>-4.5902143554401482E-6</v>
      </c>
    </row>
    <row r="54" spans="1:12" x14ac:dyDescent="0.25">
      <c r="A54" s="1" t="s">
        <v>38</v>
      </c>
      <c r="B54" s="12">
        <v>9982</v>
      </c>
      <c r="C54" s="12">
        <v>6000</v>
      </c>
      <c r="D54" s="12">
        <v>4996</v>
      </c>
    </row>
    <row r="55" spans="1:12" x14ac:dyDescent="0.25">
      <c r="A55" s="1" t="s">
        <v>39</v>
      </c>
      <c r="B55" s="12">
        <v>11128</v>
      </c>
      <c r="C55" s="12">
        <v>9613</v>
      </c>
      <c r="D55" s="12">
        <v>8773</v>
      </c>
      <c r="J55">
        <f>(B21-C21)/C21</f>
        <v>0.32856061127555586</v>
      </c>
      <c r="K55">
        <f t="shared" ref="K55:L55" si="52">(C21-D21)/D21</f>
        <v>0.50072314049586775</v>
      </c>
      <c r="L55" t="e">
        <f t="shared" si="52"/>
        <v>#DIV/0!</v>
      </c>
    </row>
    <row r="56" spans="1:12" x14ac:dyDescent="0.25">
      <c r="A56" s="8" t="s">
        <v>40</v>
      </c>
      <c r="B56" s="13">
        <f>+SUM(B51:B55)</f>
        <v>153982</v>
      </c>
      <c r="C56" s="13">
        <f>+SUM(C51:C55)</f>
        <v>125481</v>
      </c>
      <c r="D56" s="13">
        <f>+SUM(D51:D55)</f>
        <v>105392</v>
      </c>
      <c r="E56" s="25">
        <f>(B56-C56)/C56</f>
        <v>0.22713398841258836</v>
      </c>
      <c r="F56" s="25">
        <f>(C56-D56)/D56</f>
        <v>0.19061219067860938</v>
      </c>
      <c r="J56">
        <f>B96/B8</f>
        <v>-2.7155058732831552E-2</v>
      </c>
      <c r="K56">
        <f t="shared" ref="K56:L56" si="53">C96/C8</f>
        <v>-3.0302036264033657E-2</v>
      </c>
      <c r="L56">
        <f t="shared" si="53"/>
        <v>-2.6625138881299748E-2</v>
      </c>
    </row>
    <row r="57" spans="1:12" x14ac:dyDescent="0.25">
      <c r="A57" t="s">
        <v>51</v>
      </c>
      <c r="B57" s="12"/>
      <c r="C57" s="12"/>
      <c r="D57" s="12"/>
      <c r="J57">
        <f>B96/B47</f>
        <v>-4.9266160570508394E-2</v>
      </c>
      <c r="K57">
        <f t="shared" ref="K57:L57" si="54">C96/C47</f>
        <v>-5.1280034788079534E-2</v>
      </c>
      <c r="L57">
        <f t="shared" si="54"/>
        <v>-4.0566116275842931E-2</v>
      </c>
    </row>
    <row r="58" spans="1:12" x14ac:dyDescent="0.25">
      <c r="A58" s="1" t="s">
        <v>37</v>
      </c>
      <c r="B58" s="12"/>
      <c r="C58" s="12"/>
      <c r="D58" s="12"/>
    </row>
    <row r="59" spans="1:12" x14ac:dyDescent="0.25">
      <c r="A59" s="1" t="s">
        <v>39</v>
      </c>
      <c r="B59" s="12">
        <v>98959</v>
      </c>
      <c r="C59" s="12">
        <v>109106</v>
      </c>
      <c r="D59" s="12">
        <v>98667</v>
      </c>
      <c r="E59" s="25">
        <f>B59/(B59+B68)</f>
        <v>0.66135359651409131</v>
      </c>
      <c r="F59" s="25">
        <f>C59/(C59+C68)</f>
        <v>0.63361518269878514</v>
      </c>
      <c r="G59" s="25">
        <f>D59/(D59+D68)</f>
        <v>0.60160603880345842</v>
      </c>
    </row>
    <row r="60" spans="1:12" x14ac:dyDescent="0.25">
      <c r="A60" s="1" t="s">
        <v>52</v>
      </c>
      <c r="B60" s="12">
        <v>49142</v>
      </c>
      <c r="C60" s="12">
        <v>53325</v>
      </c>
      <c r="D60" s="12">
        <v>54490</v>
      </c>
    </row>
    <row r="61" spans="1:12" x14ac:dyDescent="0.25">
      <c r="A61" s="22" t="s">
        <v>53</v>
      </c>
      <c r="B61" s="21">
        <f>+B59+B60</f>
        <v>148101</v>
      </c>
      <c r="C61" s="21">
        <f>+C59+C60</f>
        <v>162431</v>
      </c>
      <c r="D61" s="21">
        <f>+D59+D60</f>
        <v>153157</v>
      </c>
    </row>
    <row r="62" spans="1:12" x14ac:dyDescent="0.25">
      <c r="A62" s="8" t="s">
        <v>41</v>
      </c>
      <c r="B62" s="13">
        <f>+B56+B61</f>
        <v>302083</v>
      </c>
      <c r="C62" s="13">
        <f>+C56+C61</f>
        <v>287912</v>
      </c>
      <c r="D62" s="13">
        <f>+D56+D61</f>
        <v>258549</v>
      </c>
      <c r="E62" s="25" t="b">
        <f>E68=(B62-C62)/C62</f>
        <v>0</v>
      </c>
      <c r="F62" s="25">
        <f>(C62-D62)/D62</f>
        <v>0.11356841449783213</v>
      </c>
      <c r="G62" s="25" t="e">
        <f>(D62-E62)/E62</f>
        <v>#DIV/0!</v>
      </c>
      <c r="J62">
        <f>B21/B22</f>
        <v>0.19338096049216957</v>
      </c>
      <c r="K62">
        <f t="shared" ref="K62:L62" si="55">C21/C22</f>
        <v>0.15343261512463033</v>
      </c>
      <c r="L62">
        <f t="shared" si="55"/>
        <v>0.16860880319102611</v>
      </c>
    </row>
    <row r="63" spans="1:12" x14ac:dyDescent="0.25">
      <c r="B63" s="12"/>
      <c r="C63" s="12"/>
      <c r="D63" s="12"/>
    </row>
    <row r="64" spans="1:12" x14ac:dyDescent="0.25">
      <c r="A64" t="s">
        <v>42</v>
      </c>
      <c r="B64" s="12"/>
      <c r="C64" s="12"/>
      <c r="D64" s="12"/>
    </row>
    <row r="65" spans="1:7" x14ac:dyDescent="0.25">
      <c r="A65" s="1" t="s">
        <v>54</v>
      </c>
      <c r="B65" s="12">
        <v>64849</v>
      </c>
      <c r="C65" s="12">
        <v>57365</v>
      </c>
      <c r="D65" s="12">
        <v>50779</v>
      </c>
    </row>
    <row r="66" spans="1:7" x14ac:dyDescent="0.25">
      <c r="A66" s="1" t="s">
        <v>43</v>
      </c>
      <c r="B66" s="12">
        <v>-3068</v>
      </c>
      <c r="C66" s="12">
        <v>5562</v>
      </c>
      <c r="D66" s="12">
        <v>14966</v>
      </c>
    </row>
    <row r="67" spans="1:7" x14ac:dyDescent="0.25">
      <c r="A67" s="1" t="s">
        <v>44</v>
      </c>
      <c r="B67" s="12">
        <v>-11109</v>
      </c>
      <c r="C67" s="12">
        <v>163</v>
      </c>
      <c r="D67" s="12">
        <v>-406</v>
      </c>
    </row>
    <row r="68" spans="1:7" x14ac:dyDescent="0.25">
      <c r="A68" s="8" t="s">
        <v>45</v>
      </c>
      <c r="B68" s="13">
        <f>+SUM(B65:B67)</f>
        <v>50672</v>
      </c>
      <c r="C68" s="13">
        <f>+SUM(C65:C67)</f>
        <v>63090</v>
      </c>
      <c r="D68" s="13">
        <f>+SUM(D65:D67)</f>
        <v>65339</v>
      </c>
      <c r="E68" s="32">
        <f>B22/68</f>
        <v>1467.6911764705883</v>
      </c>
      <c r="F68" s="32">
        <f t="shared" ref="F68:G68" si="56">C22/68</f>
        <v>1392.3529411764705</v>
      </c>
      <c r="G68" s="32">
        <f t="shared" si="56"/>
        <v>844.27941176470586</v>
      </c>
    </row>
    <row r="69" spans="1:7" ht="15.75" thickBot="1" x14ac:dyDescent="0.3">
      <c r="A69" s="9" t="s">
        <v>46</v>
      </c>
      <c r="B69" s="14">
        <f>+B68+B62</f>
        <v>352755</v>
      </c>
      <c r="C69" s="14">
        <f>+C68+C62</f>
        <v>351002</v>
      </c>
      <c r="D69" s="14">
        <f>+D68+D62</f>
        <v>323888</v>
      </c>
      <c r="E69">
        <f>(B69-C69)/C69</f>
        <v>4.9942735369029236E-3</v>
      </c>
      <c r="F69">
        <f>(C69-D69)/D69</f>
        <v>8.3714123400681711E-2</v>
      </c>
    </row>
    <row r="70" spans="1:7" ht="15.75" thickTop="1" x14ac:dyDescent="0.25"/>
    <row r="71" spans="1:7" x14ac:dyDescent="0.25">
      <c r="A71" s="43" t="s">
        <v>55</v>
      </c>
      <c r="B71" s="43"/>
      <c r="C71" s="43"/>
      <c r="D71" s="43"/>
    </row>
    <row r="72" spans="1:7" x14ac:dyDescent="0.25">
      <c r="B72" s="42" t="s">
        <v>23</v>
      </c>
      <c r="C72" s="42"/>
      <c r="D72" s="42"/>
    </row>
    <row r="73" spans="1:7" x14ac:dyDescent="0.25">
      <c r="B73" s="7">
        <f>+B33</f>
        <v>2022</v>
      </c>
      <c r="C73" s="7">
        <f>+C33</f>
        <v>2021</v>
      </c>
      <c r="D73" s="7">
        <f>+D33</f>
        <v>2020</v>
      </c>
    </row>
    <row r="75" spans="1:7" x14ac:dyDescent="0.25">
      <c r="A75" s="7" t="s">
        <v>56</v>
      </c>
      <c r="B75" s="15"/>
      <c r="C75" s="15"/>
      <c r="D75" s="15"/>
    </row>
    <row r="76" spans="1:7" x14ac:dyDescent="0.25">
      <c r="A76" t="s">
        <v>57</v>
      </c>
      <c r="B76" s="12">
        <f>+B22</f>
        <v>99803</v>
      </c>
      <c r="C76" s="12">
        <f>+C22</f>
        <v>94680</v>
      </c>
      <c r="D76" s="12">
        <f>+D22</f>
        <v>57411</v>
      </c>
    </row>
    <row r="77" spans="1:7" x14ac:dyDescent="0.25">
      <c r="A77" s="11" t="s">
        <v>18</v>
      </c>
      <c r="B77" s="15"/>
      <c r="C77" s="15"/>
      <c r="D77" s="15"/>
    </row>
    <row r="78" spans="1:7" x14ac:dyDescent="0.25">
      <c r="A78" s="1" t="s">
        <v>58</v>
      </c>
      <c r="B78" s="12"/>
      <c r="C78" s="12"/>
      <c r="D78" s="12"/>
    </row>
    <row r="79" spans="1:7" x14ac:dyDescent="0.25">
      <c r="A79" s="3" t="s">
        <v>59</v>
      </c>
      <c r="B79" s="12">
        <v>11104</v>
      </c>
      <c r="C79" s="12">
        <v>11284</v>
      </c>
      <c r="D79" s="12">
        <v>11056</v>
      </c>
    </row>
    <row r="80" spans="1:7" x14ac:dyDescent="0.25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5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5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5">
      <c r="A83" t="s">
        <v>62</v>
      </c>
      <c r="B83" s="12"/>
      <c r="C83" s="12"/>
      <c r="D83" s="12"/>
    </row>
    <row r="84" spans="1:4" x14ac:dyDescent="0.25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5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5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5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5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5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5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5">
      <c r="A91" s="8" t="s">
        <v>63</v>
      </c>
      <c r="B91" s="13">
        <f>+SUM(B76:B90)</f>
        <v>122151</v>
      </c>
      <c r="C91" s="13">
        <f>+SUM(C76:C90)</f>
        <v>104038</v>
      </c>
      <c r="D91" s="13">
        <f>+SUM(D76:D90)</f>
        <v>80674</v>
      </c>
    </row>
    <row r="92" spans="1:4" x14ac:dyDescent="0.25">
      <c r="A92" s="7" t="s">
        <v>64</v>
      </c>
      <c r="B92" s="12"/>
      <c r="C92" s="12"/>
      <c r="D92" s="12"/>
    </row>
    <row r="93" spans="1:4" x14ac:dyDescent="0.25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5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5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5">
      <c r="A96" s="1" t="s">
        <v>68</v>
      </c>
      <c r="B96" s="12">
        <v>-10708</v>
      </c>
      <c r="C96" s="12">
        <v>-11085</v>
      </c>
      <c r="D96" s="12">
        <v>-7309</v>
      </c>
    </row>
    <row r="97" spans="1:11" x14ac:dyDescent="0.25">
      <c r="A97" s="1" t="s">
        <v>69</v>
      </c>
      <c r="B97" s="12">
        <v>-306</v>
      </c>
      <c r="C97" s="12">
        <v>-33</v>
      </c>
      <c r="D97" s="12">
        <v>-1524</v>
      </c>
    </row>
    <row r="98" spans="1:11" x14ac:dyDescent="0.25">
      <c r="A98" s="1" t="s">
        <v>61</v>
      </c>
      <c r="B98" s="12">
        <v>-1780</v>
      </c>
      <c r="C98" s="12">
        <v>-352</v>
      </c>
      <c r="D98" s="12">
        <v>-909</v>
      </c>
      <c r="F98">
        <f>0.87/175</f>
        <v>4.9714285714285711E-3</v>
      </c>
    </row>
    <row r="99" spans="1:11" x14ac:dyDescent="0.25">
      <c r="A99" s="8" t="s">
        <v>70</v>
      </c>
      <c r="B99" s="13">
        <f>+SUM(B93:B98)</f>
        <v>-22354</v>
      </c>
      <c r="C99" s="13">
        <f>+SUM(C93:C98)</f>
        <v>-14545</v>
      </c>
      <c r="D99" s="13">
        <f>+SUM(D93:D98)</f>
        <v>-4289</v>
      </c>
    </row>
    <row r="100" spans="1:11" x14ac:dyDescent="0.25">
      <c r="A100" s="7" t="s">
        <v>71</v>
      </c>
      <c r="B100" s="12"/>
      <c r="C100" s="12"/>
      <c r="D100" s="12"/>
    </row>
    <row r="101" spans="1:11" x14ac:dyDescent="0.25">
      <c r="A101" s="1" t="s">
        <v>86</v>
      </c>
      <c r="B101" s="12">
        <v>-6223</v>
      </c>
      <c r="C101" s="12">
        <v>-6556</v>
      </c>
      <c r="D101" s="12">
        <v>-3634</v>
      </c>
    </row>
    <row r="102" spans="1:11" x14ac:dyDescent="0.25">
      <c r="A102" s="1" t="s">
        <v>72</v>
      </c>
      <c r="B102" s="12">
        <v>-14841</v>
      </c>
      <c r="C102" s="12">
        <v>-14467</v>
      </c>
      <c r="D102" s="12">
        <v>-14081</v>
      </c>
      <c r="E102" s="25">
        <f>B102/B28*100</f>
        <v>-9.0905087211857485E-2</v>
      </c>
      <c r="F102" s="25">
        <f t="shared" ref="F102:G102" si="57">C102/C28*100</f>
        <v>-8.5781615672153547E-2</v>
      </c>
      <c r="G102" s="25">
        <f t="shared" si="57"/>
        <v>-8.0333341434558031E-2</v>
      </c>
      <c r="H102" s="23"/>
      <c r="I102" s="23"/>
      <c r="J102" s="23"/>
    </row>
    <row r="103" spans="1:11" x14ac:dyDescent="0.25">
      <c r="A103" s="1" t="s">
        <v>73</v>
      </c>
      <c r="B103" s="12">
        <v>-89402</v>
      </c>
      <c r="C103" s="12">
        <v>-85971</v>
      </c>
      <c r="D103" s="12">
        <v>-72358</v>
      </c>
      <c r="E103" s="26">
        <f>E102/175.01</f>
        <v>-5.1942795961292204E-4</v>
      </c>
    </row>
    <row r="104" spans="1:11" x14ac:dyDescent="0.25">
      <c r="A104" s="1" t="s">
        <v>74</v>
      </c>
      <c r="B104" s="12">
        <v>5465</v>
      </c>
      <c r="C104" s="12">
        <v>20393</v>
      </c>
      <c r="D104" s="12">
        <v>16091</v>
      </c>
    </row>
    <row r="105" spans="1:11" x14ac:dyDescent="0.25">
      <c r="A105" s="1" t="s">
        <v>75</v>
      </c>
      <c r="B105" s="12">
        <v>-9543</v>
      </c>
      <c r="C105" s="12">
        <v>-8750</v>
      </c>
      <c r="D105" s="12">
        <v>-12629</v>
      </c>
    </row>
    <row r="106" spans="1:11" x14ac:dyDescent="0.25">
      <c r="A106" s="1" t="s">
        <v>76</v>
      </c>
      <c r="B106" s="12">
        <v>3955</v>
      </c>
      <c r="C106" s="12">
        <v>1022</v>
      </c>
      <c r="D106" s="12">
        <v>-963</v>
      </c>
    </row>
    <row r="107" spans="1:11" x14ac:dyDescent="0.25">
      <c r="A107" s="1" t="s">
        <v>61</v>
      </c>
      <c r="B107" s="12">
        <v>-160</v>
      </c>
      <c r="C107" s="12">
        <v>976</v>
      </c>
      <c r="D107" s="12">
        <v>754</v>
      </c>
    </row>
    <row r="108" spans="1:11" x14ac:dyDescent="0.25">
      <c r="A108" s="8" t="s">
        <v>77</v>
      </c>
      <c r="B108" s="13">
        <f>+SUM(B101:B107)</f>
        <v>-110749</v>
      </c>
      <c r="C108" s="13">
        <f>+SUM(C101:C107)</f>
        <v>-93353</v>
      </c>
      <c r="D108" s="13">
        <f>+SUM(D101:D107)</f>
        <v>-86820</v>
      </c>
    </row>
    <row r="109" spans="1:11" x14ac:dyDescent="0.25">
      <c r="A109" s="8" t="s">
        <v>78</v>
      </c>
      <c r="B109" s="13">
        <f>+B91+B99+B108</f>
        <v>-10952</v>
      </c>
      <c r="C109" s="13">
        <f>+C91+C99+C108</f>
        <v>-3860</v>
      </c>
      <c r="D109" s="13">
        <f>+D91+D99+D108</f>
        <v>-10435</v>
      </c>
    </row>
    <row r="110" spans="1:11" ht="15.75" thickBot="1" x14ac:dyDescent="0.3">
      <c r="A110" s="9" t="s">
        <v>79</v>
      </c>
      <c r="B110" s="14">
        <v>24977</v>
      </c>
      <c r="C110" s="14">
        <v>35929</v>
      </c>
      <c r="D110" s="14">
        <v>39789</v>
      </c>
      <c r="E110" s="23">
        <f>B110+B113+B114+B79</f>
        <v>58519</v>
      </c>
      <c r="F110" s="23">
        <f>C110+C113+C114+C79</f>
        <v>75285</v>
      </c>
      <c r="G110" s="23">
        <f>D110+D113+D114+D79</f>
        <v>63348</v>
      </c>
      <c r="J110" s="28">
        <f>(B113/C113)/C113</f>
        <v>3.0374074975144444E-5</v>
      </c>
      <c r="K110" s="28">
        <f>(C113/D113)/D113</f>
        <v>2.8121503194657047E-4</v>
      </c>
    </row>
    <row r="111" spans="1:11" ht="15.75" thickTop="1" x14ac:dyDescent="0.25">
      <c r="B111" s="12"/>
      <c r="C111" s="12"/>
      <c r="D111" s="12"/>
      <c r="E111">
        <f>E110/B8</f>
        <v>0.14840183806374388</v>
      </c>
      <c r="F111">
        <f>F110/C8</f>
        <v>0.20579962112203642</v>
      </c>
      <c r="G111">
        <f>G110/D8</f>
        <v>0.2307633462652314</v>
      </c>
    </row>
    <row r="112" spans="1:11" x14ac:dyDescent="0.25">
      <c r="A112" t="s">
        <v>80</v>
      </c>
      <c r="B112" s="12"/>
      <c r="C112" s="12"/>
      <c r="D112" s="12"/>
    </row>
    <row r="113" spans="1:7" x14ac:dyDescent="0.25">
      <c r="A113" t="s">
        <v>81</v>
      </c>
      <c r="B113" s="12">
        <v>19573</v>
      </c>
      <c r="C113" s="12">
        <v>25385</v>
      </c>
      <c r="D113" s="12">
        <v>9501</v>
      </c>
      <c r="E113">
        <f>B113/B22*100</f>
        <v>19.611634920793964</v>
      </c>
      <c r="F113">
        <f>C113/C22*100</f>
        <v>26.811364596535697</v>
      </c>
      <c r="G113">
        <f>D113/D22*100</f>
        <v>16.549093379317554</v>
      </c>
    </row>
    <row r="114" spans="1:7" x14ac:dyDescent="0.25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6"/>
  <sheetViews>
    <sheetView tabSelected="1" zoomScaleNormal="100" workbookViewId="0">
      <selection activeCell="E87" sqref="E87"/>
    </sheetView>
  </sheetViews>
  <sheetFormatPr defaultColWidth="8.85546875" defaultRowHeight="15" x14ac:dyDescent="0.25"/>
  <cols>
    <col min="1" max="1" width="4.7109375" customWidth="1"/>
    <col min="2" max="2" width="44.85546875" customWidth="1"/>
    <col min="3" max="3" width="16" bestFit="1" customWidth="1"/>
    <col min="4" max="5" width="16.140625" bestFit="1" customWidth="1"/>
    <col min="6" max="6" width="16.140625" customWidth="1"/>
    <col min="7" max="7" width="37" customWidth="1"/>
    <col min="8" max="8" width="10.7109375" bestFit="1" customWidth="1"/>
  </cols>
  <sheetData>
    <row r="1" spans="1:12" ht="60" customHeight="1" x14ac:dyDescent="0.4">
      <c r="A1" s="6"/>
      <c r="B1" s="20" t="s">
        <v>0</v>
      </c>
      <c r="C1" s="19"/>
      <c r="D1" s="19"/>
      <c r="E1" s="19"/>
      <c r="F1" s="37" t="s">
        <v>202</v>
      </c>
      <c r="G1" s="37" t="s">
        <v>202</v>
      </c>
      <c r="H1" s="19"/>
      <c r="I1" s="19"/>
      <c r="J1" s="19"/>
      <c r="K1" s="19"/>
      <c r="L1" s="19"/>
    </row>
    <row r="2" spans="1:12" x14ac:dyDescent="0.25">
      <c r="C2" s="42" t="s">
        <v>23</v>
      </c>
      <c r="D2" s="42"/>
      <c r="E2" s="42"/>
      <c r="F2" s="38"/>
      <c r="G2" s="29"/>
    </row>
    <row r="3" spans="1:12" x14ac:dyDescent="0.2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F3" s="7"/>
      <c r="G3" s="7"/>
    </row>
    <row r="4" spans="1:12" x14ac:dyDescent="0.25">
      <c r="A4" s="18">
        <v>1</v>
      </c>
      <c r="B4" s="7" t="s">
        <v>99</v>
      </c>
    </row>
    <row r="5" spans="1:12" x14ac:dyDescent="0.25">
      <c r="A5" s="18">
        <f>+A4+0.1</f>
        <v>1.1000000000000001</v>
      </c>
      <c r="B5" s="1" t="s">
        <v>100</v>
      </c>
      <c r="C5" s="24">
        <f>'Financial Statements'!F4</f>
        <v>0.87935602862672257</v>
      </c>
      <c r="D5" s="24">
        <f>'Financial Statements'!G4</f>
        <v>1.0745531195957954</v>
      </c>
      <c r="E5" s="24">
        <f>'Financial Statements'!H4</f>
        <v>1.3636044481554577</v>
      </c>
      <c r="F5" s="24"/>
      <c r="G5" s="24"/>
    </row>
    <row r="6" spans="1:12" x14ac:dyDescent="0.25">
      <c r="A6" s="18">
        <f t="shared" ref="A6:A13" si="0">+A5+0.1</f>
        <v>1.2000000000000002</v>
      </c>
      <c r="B6" s="1" t="s">
        <v>101</v>
      </c>
      <c r="C6" s="28">
        <f>'Financial Statements'!F5</f>
        <v>0.49673338442155579</v>
      </c>
      <c r="D6" s="28">
        <f>'Financial Statements'!G5</f>
        <v>0.70860927152317876</v>
      </c>
      <c r="E6" s="28">
        <f>'Financial Statements'!H5</f>
        <v>1.0158550933657204</v>
      </c>
      <c r="F6" s="28"/>
      <c r="G6" s="28"/>
    </row>
    <row r="7" spans="1:12" x14ac:dyDescent="0.25">
      <c r="A7" s="18">
        <f t="shared" si="0"/>
        <v>1.3000000000000003</v>
      </c>
      <c r="B7" s="1" t="s">
        <v>102</v>
      </c>
      <c r="C7" s="25">
        <f>'Financial Statements'!F6</f>
        <v>0.15356340351469652</v>
      </c>
      <c r="D7" s="25">
        <f>'Financial Statements'!G6</f>
        <v>0.27844853005634318</v>
      </c>
      <c r="E7" s="25">
        <f>'Financial Statements'!H6</f>
        <v>0.36071049035979963</v>
      </c>
      <c r="F7" s="25"/>
      <c r="G7" s="25"/>
    </row>
    <row r="8" spans="1:12" x14ac:dyDescent="0.25">
      <c r="A8" s="18">
        <f t="shared" si="0"/>
        <v>1.4000000000000004</v>
      </c>
      <c r="B8" s="1" t="s">
        <v>103</v>
      </c>
      <c r="C8" s="25">
        <f>'Financial Statements'!F8</f>
        <v>1228.1708953554833</v>
      </c>
      <c r="D8" s="25">
        <f>'Financial Statements'!G8</f>
        <v>1509.5279575499187</v>
      </c>
      <c r="E8" s="25">
        <f>'Financial Statements'!H8</f>
        <v>1899.7263870780819</v>
      </c>
      <c r="F8" s="25"/>
      <c r="G8" t="s">
        <v>185</v>
      </c>
    </row>
    <row r="9" spans="1:12" x14ac:dyDescent="0.25">
      <c r="A9" s="18">
        <f t="shared" si="0"/>
        <v>1.5000000000000004</v>
      </c>
      <c r="B9" s="1" t="s">
        <v>104</v>
      </c>
      <c r="C9" s="25">
        <f>'Financial Statements'!F10</f>
        <v>8.0756980666171607</v>
      </c>
      <c r="D9" s="25">
        <f>'Financial Statements'!G10</f>
        <v>11.27659274770989</v>
      </c>
      <c r="E9" s="25">
        <f>'Financial Statements'!H10</f>
        <v>8.7418833562358831</v>
      </c>
      <c r="F9" s="25"/>
      <c r="G9" s="25" t="s">
        <v>201</v>
      </c>
      <c r="H9" s="25"/>
      <c r="I9" s="25"/>
      <c r="J9" s="25"/>
    </row>
    <row r="10" spans="1:12" x14ac:dyDescent="0.25">
      <c r="A10" s="18">
        <f t="shared" si="0"/>
        <v>1.6000000000000005</v>
      </c>
      <c r="B10" s="1" t="s">
        <v>105</v>
      </c>
      <c r="C10" s="35">
        <f>'Financial Statements'!F11</f>
        <v>104.68527730310539</v>
      </c>
      <c r="D10" s="35">
        <f>'Financial Statements'!G11</f>
        <v>93.85107122231561</v>
      </c>
      <c r="E10" s="35">
        <f>'Financial Statements'!H11</f>
        <v>91.048189715674184</v>
      </c>
      <c r="F10" s="35"/>
      <c r="G10" s="35"/>
    </row>
    <row r="11" spans="1:12" x14ac:dyDescent="0.25">
      <c r="A11" s="18">
        <f t="shared" si="0"/>
        <v>1.7000000000000006</v>
      </c>
      <c r="B11" s="1" t="s">
        <v>106</v>
      </c>
      <c r="C11" s="23">
        <f>'Financial Statements'!F15</f>
        <v>66.80754893429102</v>
      </c>
      <c r="D11" s="23">
        <f>'Financial Statements'!G15</f>
        <v>76.437628007427421</v>
      </c>
      <c r="E11" s="23">
        <f>'Financial Statements'!H15</f>
        <v>55.827766813420375</v>
      </c>
      <c r="F11" s="23"/>
      <c r="G11" t="s">
        <v>186</v>
      </c>
      <c r="H11" s="23" t="s">
        <v>153</v>
      </c>
    </row>
    <row r="12" spans="1:12" x14ac:dyDescent="0.25">
      <c r="A12" s="18">
        <f t="shared" si="0"/>
        <v>1.8000000000000007</v>
      </c>
      <c r="B12" s="1" t="s">
        <v>107</v>
      </c>
      <c r="C12" s="40">
        <f>C9+C11-C10</f>
        <v>-29.80203030219721</v>
      </c>
      <c r="D12" s="40">
        <f t="shared" ref="D12:E12" si="1">D9+D11-D10</f>
        <v>-6.1368504671783057</v>
      </c>
      <c r="E12" s="40">
        <f t="shared" si="1"/>
        <v>-26.478539546017927</v>
      </c>
      <c r="F12" s="40"/>
      <c r="G12" t="s">
        <v>187</v>
      </c>
      <c r="H12" t="s">
        <v>154</v>
      </c>
    </row>
    <row r="13" spans="1:12" x14ac:dyDescent="0.25">
      <c r="A13" s="18">
        <f t="shared" si="0"/>
        <v>1.9000000000000008</v>
      </c>
      <c r="B13" s="1" t="s">
        <v>108</v>
      </c>
      <c r="C13" s="25">
        <f>'Financial Statements'!F14</f>
        <v>7.1473494147004519</v>
      </c>
      <c r="D13" s="25">
        <f>'Financial Statements'!G14</f>
        <v>2.0895045338906452E-2</v>
      </c>
      <c r="E13" s="25">
        <f>'Financial Statements'!H14</f>
        <v>2.0336872962650628E-2</v>
      </c>
      <c r="F13" s="25"/>
      <c r="G13" s="25"/>
    </row>
    <row r="14" spans="1:12" x14ac:dyDescent="0.25">
      <c r="A14" s="18"/>
      <c r="B14" s="3" t="s">
        <v>109</v>
      </c>
      <c r="C14">
        <f>'Financial Statements'!F15</f>
        <v>66.80754893429102</v>
      </c>
      <c r="D14">
        <f>'Financial Statements'!G15</f>
        <v>76.437628007427421</v>
      </c>
      <c r="E14">
        <f>'Financial Statements'!H15</f>
        <v>55.827766813420375</v>
      </c>
    </row>
    <row r="15" spans="1:12" x14ac:dyDescent="0.25">
      <c r="A15" s="18"/>
    </row>
    <row r="16" spans="1:12" x14ac:dyDescent="0.25">
      <c r="A16" s="18">
        <f>+A4+1</f>
        <v>2</v>
      </c>
      <c r="B16" s="17" t="s">
        <v>110</v>
      </c>
    </row>
    <row r="17" spans="1:7" x14ac:dyDescent="0.25">
      <c r="A17" s="18">
        <f>+A16+0.1</f>
        <v>2.1</v>
      </c>
      <c r="B17" s="1" t="s">
        <v>9</v>
      </c>
      <c r="C17" s="41">
        <f>'Financial Statements'!F18</f>
        <v>0.43309630561360085</v>
      </c>
      <c r="D17" s="41">
        <f>'Financial Statements'!G18</f>
        <v>0.41779359625167778</v>
      </c>
      <c r="E17" s="41">
        <f>'Financial Statements'!H18</f>
        <v>0.38233247727810865</v>
      </c>
      <c r="F17" s="41"/>
      <c r="G17" t="s">
        <v>188</v>
      </c>
    </row>
    <row r="18" spans="1:7" x14ac:dyDescent="0.25">
      <c r="A18" s="18">
        <f>+A17+0.1</f>
        <v>2.2000000000000002</v>
      </c>
      <c r="B18" s="1" t="s">
        <v>111</v>
      </c>
      <c r="C18" s="28">
        <f>'Financial Statements'!F21</f>
        <v>0.30288744395528594</v>
      </c>
      <c r="D18" s="28">
        <f>'Financial Statements'!G21</f>
        <v>0.29782377527561593</v>
      </c>
      <c r="E18" s="28">
        <f>'Financial Statements'!H21</f>
        <v>0.24147314354406862</v>
      </c>
      <c r="F18" s="28"/>
      <c r="G18" s="28"/>
    </row>
    <row r="19" spans="1:7" x14ac:dyDescent="0.25">
      <c r="A19" s="18"/>
      <c r="B19" s="3" t="s">
        <v>112</v>
      </c>
      <c r="C19" s="30">
        <f>'Financial Statements'!F22</f>
        <v>130541</v>
      </c>
      <c r="D19" s="30">
        <f>'Financial Statements'!G22</f>
        <v>120233</v>
      </c>
      <c r="E19" s="30">
        <f>'Financial Statements'!H22</f>
        <v>77344</v>
      </c>
      <c r="F19" s="30"/>
      <c r="G19" t="s">
        <v>190</v>
      </c>
    </row>
    <row r="20" spans="1:7" x14ac:dyDescent="0.25">
      <c r="A20" s="18">
        <f>+A18+0.1</f>
        <v>2.3000000000000003</v>
      </c>
      <c r="B20" s="1" t="s">
        <v>113</v>
      </c>
      <c r="C20" s="25">
        <f>'Financial Statements'!F21</f>
        <v>0.30288744395528594</v>
      </c>
      <c r="D20" s="25">
        <f>'Financial Statements'!G21</f>
        <v>0.29782377527561593</v>
      </c>
      <c r="E20" s="25">
        <f>'Financial Statements'!H21</f>
        <v>0.24147314354406862</v>
      </c>
      <c r="F20" s="25"/>
      <c r="G20" s="25"/>
    </row>
    <row r="21" spans="1:7" x14ac:dyDescent="0.25">
      <c r="A21" s="18"/>
      <c r="B21" s="3" t="s">
        <v>114</v>
      </c>
      <c r="C21" s="35">
        <f>'Financial Statements'!F20</f>
        <v>119437</v>
      </c>
      <c r="D21" s="35">
        <f>'Financial Statements'!G20</f>
        <v>108949</v>
      </c>
      <c r="E21" s="35">
        <f>'Financial Statements'!H20</f>
        <v>66288</v>
      </c>
      <c r="F21" s="35"/>
      <c r="G21" t="s">
        <v>189</v>
      </c>
    </row>
    <row r="22" spans="1:7" x14ac:dyDescent="0.25">
      <c r="A22" s="18">
        <f>+A20+0.1</f>
        <v>2.4000000000000004</v>
      </c>
      <c r="B22" s="1" t="s">
        <v>115</v>
      </c>
      <c r="C22" s="25">
        <f>'Financial Statements'!F23</f>
        <v>25.309640705199733</v>
      </c>
      <c r="D22" s="25">
        <f>'Financial Statements'!G23</f>
        <v>25.881793355694239</v>
      </c>
      <c r="E22" s="25">
        <f>'Financial Statements'!H23</f>
        <v>20.913611278072235</v>
      </c>
      <c r="F22" s="25"/>
      <c r="G22" s="25"/>
    </row>
    <row r="23" spans="1:7" x14ac:dyDescent="0.25">
      <c r="A23" s="18"/>
    </row>
    <row r="24" spans="1:7" x14ac:dyDescent="0.25">
      <c r="A24" s="18">
        <f>+A16+1</f>
        <v>3</v>
      </c>
      <c r="B24" s="7" t="s">
        <v>116</v>
      </c>
    </row>
    <row r="25" spans="1:7" x14ac:dyDescent="0.25">
      <c r="A25" s="18">
        <f t="shared" ref="A25:A30" si="2">+A24+0.1</f>
        <v>3.1</v>
      </c>
      <c r="B25" s="1" t="s">
        <v>117</v>
      </c>
      <c r="C25" s="25">
        <f>'Financial Statements'!F26</f>
        <v>1.9529325860435744</v>
      </c>
      <c r="D25" s="25">
        <f>'Financial Statements'!G26</f>
        <v>1.729370740212395</v>
      </c>
      <c r="E25" s="25">
        <f>'Financial Statements'!H26</f>
        <v>1.5100782075024104</v>
      </c>
      <c r="F25" s="25"/>
      <c r="G25" t="s">
        <v>192</v>
      </c>
    </row>
    <row r="26" spans="1:7" x14ac:dyDescent="0.25">
      <c r="A26" s="18">
        <f t="shared" si="2"/>
        <v>3.2</v>
      </c>
      <c r="B26" s="1" t="s">
        <v>118</v>
      </c>
      <c r="C26" s="25">
        <f>'Financial Statements'!F28</f>
        <v>2.3496212930645584</v>
      </c>
      <c r="D26" s="25">
        <f>'Financial Statements'!G28</f>
        <v>2.7663793103448278</v>
      </c>
      <c r="E26" s="25">
        <f>'Financial Statements'!H28</f>
        <v>2.683647935592667</v>
      </c>
      <c r="F26" s="25"/>
      <c r="G26" s="25" t="s">
        <v>191</v>
      </c>
    </row>
    <row r="27" spans="1:7" x14ac:dyDescent="0.25">
      <c r="A27" s="18">
        <f t="shared" si="2"/>
        <v>3.3000000000000003</v>
      </c>
      <c r="B27" s="1" t="s">
        <v>119</v>
      </c>
      <c r="C27" s="25">
        <f>'Financial Statements'!F28</f>
        <v>2.3496212930645584</v>
      </c>
      <c r="D27" s="25">
        <f>'Financial Statements'!G28</f>
        <v>2.7663793103448278</v>
      </c>
      <c r="E27" s="25">
        <f>'Financial Statements'!H28</f>
        <v>2.683647935592667</v>
      </c>
      <c r="F27" s="25"/>
      <c r="G27" s="25"/>
    </row>
    <row r="28" spans="1:7" x14ac:dyDescent="0.25">
      <c r="A28" s="18">
        <f t="shared" si="2"/>
        <v>3.4000000000000004</v>
      </c>
      <c r="B28" s="1" t="s">
        <v>120</v>
      </c>
      <c r="C28" s="28">
        <f>'Financial Statements'!F29</f>
        <v>41.68830715532286</v>
      </c>
      <c r="D28" s="28">
        <f>'Financial Statements'!G29</f>
        <v>40.546706363974693</v>
      </c>
      <c r="E28" s="28">
        <f>'Financial Statements'!H29</f>
        <v>22.081279147235175</v>
      </c>
      <c r="F28" s="28"/>
      <c r="G28" t="s">
        <v>193</v>
      </c>
    </row>
    <row r="29" spans="1:7" x14ac:dyDescent="0.25">
      <c r="A29" s="18">
        <f t="shared" si="2"/>
        <v>3.5000000000000004</v>
      </c>
      <c r="B29" s="1" t="s">
        <v>121</v>
      </c>
      <c r="C29" s="25">
        <f>'Financial Statements'!F30*-1</f>
        <v>17.88514525306978</v>
      </c>
      <c r="D29" s="25">
        <f>'Financial Statements'!G30*-1</f>
        <v>17.969487052614216</v>
      </c>
      <c r="E29" s="25">
        <f>'Financial Statements'!H30*-1</f>
        <v>6.8856341539420383</v>
      </c>
      <c r="F29" s="25" t="s">
        <v>203</v>
      </c>
      <c r="G29" t="s">
        <v>194</v>
      </c>
    </row>
    <row r="30" spans="1:7" x14ac:dyDescent="0.25">
      <c r="A30" s="18">
        <f t="shared" si="2"/>
        <v>3.6000000000000005</v>
      </c>
      <c r="B30" s="1" t="s">
        <v>122</v>
      </c>
      <c r="C30" s="26">
        <f>'Financial Statements'!F31</f>
        <v>7.1609271179595953E-3</v>
      </c>
      <c r="D30" s="26">
        <f>'Financial Statements'!G31</f>
        <v>6.7208149650763221E-3</v>
      </c>
      <c r="E30" s="26">
        <f>'Financial Statements'!H31</f>
        <v>5.1035433501667657E-3</v>
      </c>
      <c r="F30" s="26"/>
      <c r="G30" s="26"/>
    </row>
    <row r="31" spans="1:7" x14ac:dyDescent="0.25">
      <c r="A31" s="18"/>
      <c r="B31" s="3" t="s">
        <v>123</v>
      </c>
      <c r="C31">
        <f>'Financial Statements'!F32</f>
        <v>116908</v>
      </c>
      <c r="D31">
        <f>'Financial Statements'!G32</f>
        <v>113346</v>
      </c>
      <c r="E31">
        <f>'Financial Statements'!H32</f>
        <v>89456</v>
      </c>
      <c r="G31" t="s">
        <v>195</v>
      </c>
    </row>
    <row r="32" spans="1:7" x14ac:dyDescent="0.25">
      <c r="A32" s="18"/>
    </row>
    <row r="33" spans="1:7" x14ac:dyDescent="0.25">
      <c r="A33" s="18">
        <f>+A24+1</f>
        <v>4</v>
      </c>
      <c r="B33" s="17" t="s">
        <v>124</v>
      </c>
    </row>
    <row r="34" spans="1:7" x14ac:dyDescent="0.25">
      <c r="A34" s="18">
        <f>+A33+0.1</f>
        <v>4.0999999999999996</v>
      </c>
      <c r="B34" s="1" t="s">
        <v>125</v>
      </c>
      <c r="C34" s="25">
        <f>'Financial Statements'!F35</f>
        <v>1.1178523337727317</v>
      </c>
      <c r="D34" s="25">
        <f>'Financial Statements'!G35</f>
        <v>1.0422077367080529</v>
      </c>
      <c r="E34" s="25">
        <f>'Financial Statements'!H35</f>
        <v>0.84756150274168851</v>
      </c>
      <c r="F34" s="25"/>
      <c r="G34" s="25"/>
    </row>
    <row r="35" spans="1:7" x14ac:dyDescent="0.25">
      <c r="A35" s="18">
        <f>+A34+0.1</f>
        <v>4.1999999999999993</v>
      </c>
      <c r="B35" s="1" t="s">
        <v>126</v>
      </c>
      <c r="C35" s="25">
        <f>'Financial Statements'!F36</f>
        <v>1.8142535081665516</v>
      </c>
      <c r="D35" s="25">
        <f>'Financial Statements'!G36</f>
        <v>1.6922966608994938</v>
      </c>
      <c r="E35" s="25">
        <f>'Financial Statements'!H36</f>
        <v>1.5236020535590398</v>
      </c>
      <c r="F35" s="25"/>
      <c r="G35" s="25"/>
    </row>
    <row r="36" spans="1:7" x14ac:dyDescent="0.25">
      <c r="A36" s="18">
        <f>+A35+0.1</f>
        <v>4.2999999999999989</v>
      </c>
      <c r="B36" s="1" t="s">
        <v>127</v>
      </c>
      <c r="C36" s="25">
        <f>'Financial Statements'!F37</f>
        <v>45.197331176708452</v>
      </c>
      <c r="D36" s="25">
        <f>'Financial Statements'!G37</f>
        <v>32.367933130699086</v>
      </c>
      <c r="E36" s="25">
        <f>'Financial Statements'!H37</f>
        <v>41.753016498399411</v>
      </c>
      <c r="F36" s="25"/>
      <c r="G36" s="25"/>
    </row>
    <row r="37" spans="1:7" x14ac:dyDescent="0.25">
      <c r="A37" s="18">
        <f>+A36+0.1</f>
        <v>4.3999999999999986</v>
      </c>
      <c r="B37" s="1" t="s">
        <v>128</v>
      </c>
      <c r="C37" s="25">
        <f>'Financial Statements'!F38</f>
        <v>0.28292440929256851</v>
      </c>
      <c r="D37" s="25">
        <f>'Financial Statements'!G38</f>
        <v>0.26974205275183616</v>
      </c>
      <c r="E37" s="25">
        <f>'Financial Statements'!H38</f>
        <v>0.1772557180259843</v>
      </c>
      <c r="F37" s="25"/>
      <c r="G37" s="25"/>
    </row>
    <row r="38" spans="1:7" x14ac:dyDescent="0.25">
      <c r="A38" s="18"/>
    </row>
    <row r="39" spans="1:7" x14ac:dyDescent="0.25">
      <c r="A39" s="18">
        <f>+A33+1</f>
        <v>5</v>
      </c>
      <c r="B39" s="17" t="s">
        <v>129</v>
      </c>
    </row>
    <row r="40" spans="1:7" x14ac:dyDescent="0.25">
      <c r="A40" s="18">
        <f>+A39+0.1</f>
        <v>5.0999999999999996</v>
      </c>
      <c r="B40" s="1" t="s">
        <v>130</v>
      </c>
      <c r="C40" s="25">
        <f>'Financial Statements'!F41</f>
        <v>28.643207855973809</v>
      </c>
      <c r="D40" s="25">
        <f>'Financial Statements'!G41</f>
        <v>31.196078431372545</v>
      </c>
      <c r="E40" s="25">
        <f>'Financial Statements'!H41</f>
        <v>53.356707317073173</v>
      </c>
      <c r="F40" s="25"/>
      <c r="G40" t="s">
        <v>196</v>
      </c>
    </row>
    <row r="41" spans="1:7" x14ac:dyDescent="0.25">
      <c r="A41" s="18">
        <f>+A40+0.1</f>
        <v>5.1999999999999993</v>
      </c>
      <c r="B41" s="3" t="s">
        <v>131</v>
      </c>
      <c r="C41" s="25">
        <f>'Financial Statements'!F42</f>
        <v>6.11</v>
      </c>
      <c r="D41" s="25">
        <f>'Financial Statements'!G42</f>
        <v>5.61</v>
      </c>
      <c r="E41" s="25">
        <f>'Financial Statements'!H42</f>
        <v>3.28</v>
      </c>
      <c r="F41" s="25"/>
      <c r="G41" s="25"/>
    </row>
    <row r="42" spans="1:7" x14ac:dyDescent="0.25">
      <c r="A42" s="18">
        <f>+A41+0.1</f>
        <v>5.2999999999999989</v>
      </c>
      <c r="B42" s="1" t="s">
        <v>132</v>
      </c>
      <c r="C42" s="26">
        <f>'Financial Statements'!F43</f>
        <v>3.103795282797145E-3</v>
      </c>
      <c r="D42" s="26">
        <f>'Financial Statements'!G43</f>
        <v>3.7409014534845971E-3</v>
      </c>
      <c r="E42" s="26">
        <f>'Financial Statements'!H43</f>
        <v>3.7276473233382478E-3</v>
      </c>
      <c r="F42" s="26"/>
      <c r="G42" t="s">
        <v>198</v>
      </c>
    </row>
    <row r="43" spans="1:7" x14ac:dyDescent="0.25">
      <c r="A43" s="18">
        <f>+A42+0.1</f>
        <v>5.3999999999999986</v>
      </c>
      <c r="B43" s="3" t="s">
        <v>133</v>
      </c>
      <c r="C43" s="26">
        <f>'Financial Statements'!F44</f>
        <v>3.1037952827971451</v>
      </c>
      <c r="D43" s="26">
        <f>'Financial Statements'!G44</f>
        <v>3.740901453484597</v>
      </c>
      <c r="E43" s="26">
        <f>'Financial Statements'!H44</f>
        <v>3.7276473233382479</v>
      </c>
      <c r="F43" s="26"/>
      <c r="G43" t="s">
        <v>197</v>
      </c>
    </row>
    <row r="44" spans="1:7" x14ac:dyDescent="0.25">
      <c r="A44" s="18">
        <f>+A43+0.1</f>
        <v>5.4999999999999982</v>
      </c>
      <c r="B44" s="1" t="s">
        <v>134</v>
      </c>
      <c r="C44" s="25">
        <f>'Financial Statements'!F45*-1</f>
        <v>0.14870294480125848</v>
      </c>
      <c r="D44" s="25">
        <f>'Financial Statements'!G45*-1</f>
        <v>0.15279890156316012</v>
      </c>
      <c r="E44" s="25">
        <f>'Financial Statements'!H45*-1</f>
        <v>0.24526658654264863</v>
      </c>
      <c r="F44" s="25"/>
      <c r="G44" s="25"/>
    </row>
    <row r="45" spans="1:7" x14ac:dyDescent="0.25">
      <c r="A45" s="18"/>
      <c r="B45" s="3" t="s">
        <v>135</v>
      </c>
      <c r="C45" s="26">
        <f>'Financial Statements'!F46*-1</f>
        <v>9.0905087211857485E-4</v>
      </c>
      <c r="D45" s="26">
        <f>'Financial Statements'!G46*-1</f>
        <v>8.5781615672153545E-4</v>
      </c>
      <c r="E45" s="26">
        <f>'Financial Statements'!H46*-1</f>
        <v>8.0333341434558024E-4</v>
      </c>
      <c r="F45" s="26" t="s">
        <v>204</v>
      </c>
      <c r="G45" t="s">
        <v>199</v>
      </c>
    </row>
    <row r="46" spans="1:7" x14ac:dyDescent="0.25">
      <c r="A46" s="18">
        <f>+A44+0.1</f>
        <v>5.5999999999999979</v>
      </c>
      <c r="B46" s="1" t="s">
        <v>136</v>
      </c>
      <c r="C46" s="34">
        <f>'Financial Statements'!F53*-1</f>
        <v>5.1942795961292205E-6</v>
      </c>
      <c r="D46" s="34">
        <f>'Financial Statements'!G53*-1</f>
        <v>4.9015265226074826E-6</v>
      </c>
      <c r="E46" s="34">
        <f>'Financial Statements'!H53*-1</f>
        <v>4.5902143554401482E-6</v>
      </c>
      <c r="F46" s="34"/>
      <c r="G46" s="34"/>
    </row>
    <row r="47" spans="1:7" x14ac:dyDescent="0.25">
      <c r="A47" s="18">
        <f>+A45+0.1</f>
        <v>0.1</v>
      </c>
      <c r="B47" s="1" t="s">
        <v>137</v>
      </c>
      <c r="C47" s="25">
        <f>'Financial Statements'!F47</f>
        <v>1.9695887275023682</v>
      </c>
      <c r="D47" s="25">
        <f>'Financial Statements'!G47</f>
        <v>1.5007132667617689</v>
      </c>
      <c r="E47" s="25">
        <f>'Financial Statements'!H47</f>
        <v>0.87866358530127486</v>
      </c>
      <c r="F47" s="25"/>
      <c r="G47" s="25"/>
    </row>
    <row r="48" spans="1:7" x14ac:dyDescent="0.25">
      <c r="A48" s="18">
        <f>+A46+0.1</f>
        <v>5.6999999999999975</v>
      </c>
      <c r="B48" s="1" t="s">
        <v>138</v>
      </c>
      <c r="C48" s="25">
        <f>'Financial Statements'!F48</f>
        <v>0.79821026391589978</v>
      </c>
      <c r="D48" s="25">
        <f>'Financial Statements'!G48</f>
        <v>0.63270343097400639</v>
      </c>
      <c r="E48" s="25">
        <f>'Financial Statements'!H48</f>
        <v>0.40418033486579757</v>
      </c>
      <c r="F48" s="25"/>
      <c r="G48" t="s">
        <v>200</v>
      </c>
    </row>
    <row r="49" spans="1:7" x14ac:dyDescent="0.25">
      <c r="A49" s="18">
        <f>+A47+0.1</f>
        <v>0.2</v>
      </c>
      <c r="B49" s="1" t="s">
        <v>128</v>
      </c>
      <c r="C49" s="25">
        <f>'Financial Statements'!F49</f>
        <v>0.28292440929256851</v>
      </c>
      <c r="D49" s="25">
        <f>'Financial Statements'!G49</f>
        <v>0.26974205275183616</v>
      </c>
      <c r="E49" s="25">
        <f>'Financial Statements'!H49</f>
        <v>0.1772557180259843</v>
      </c>
      <c r="F49" s="25"/>
      <c r="G49" s="25"/>
    </row>
    <row r="50" spans="1:7" x14ac:dyDescent="0.25">
      <c r="A50" s="18">
        <f>+A48+0.1</f>
        <v>5.7999999999999972</v>
      </c>
      <c r="B50" s="1" t="s">
        <v>139</v>
      </c>
      <c r="C50" s="25">
        <f>'Financial Statements'!F50</f>
        <v>22.549410401253244</v>
      </c>
      <c r="D50" s="25">
        <f>'Financial Statements'!G50</f>
        <v>25.245219483752379</v>
      </c>
      <c r="E50" s="25">
        <f>'Financial Statements'!H50</f>
        <v>40.559535738260237</v>
      </c>
      <c r="F50" s="25"/>
      <c r="G50" s="25"/>
    </row>
    <row r="51" spans="1:7" x14ac:dyDescent="0.25">
      <c r="A51" s="18"/>
      <c r="B51" s="3" t="s">
        <v>140</v>
      </c>
      <c r="C51" s="25">
        <f>'Financial Statements'!F51</f>
        <v>2943622.5831899997</v>
      </c>
      <c r="D51" s="25">
        <f>'Financial Statements'!G51</f>
        <v>3035308.47419</v>
      </c>
      <c r="E51" s="25">
        <f>'Financial Statements'!H51</f>
        <v>3137036.73214</v>
      </c>
      <c r="F51" s="25"/>
      <c r="G51" t="s">
        <v>197</v>
      </c>
    </row>
    <row r="53" spans="1:7" x14ac:dyDescent="0.25">
      <c r="B53" s="1" t="s">
        <v>159</v>
      </c>
      <c r="C53" t="s">
        <v>160</v>
      </c>
      <c r="D53" s="41">
        <f>'Financial Statements'!J5</f>
        <v>6.3239764351428418E-2</v>
      </c>
      <c r="E53" s="41">
        <f>'Financial Statements'!K5</f>
        <v>0.34720743656765435</v>
      </c>
      <c r="F53" s="41"/>
      <c r="G53" t="s">
        <v>188</v>
      </c>
    </row>
    <row r="54" spans="1:7" x14ac:dyDescent="0.25">
      <c r="C54" t="s">
        <v>161</v>
      </c>
      <c r="D54" s="41">
        <f>'Financial Statements'!J6</f>
        <v>0.14181951041286078</v>
      </c>
      <c r="E54" s="41">
        <f>'Financial Statements'!K6</f>
        <v>0.27259708376729652</v>
      </c>
      <c r="F54" s="41"/>
      <c r="G54" s="25"/>
    </row>
    <row r="55" spans="1:7" x14ac:dyDescent="0.25">
      <c r="C55" t="s">
        <v>162</v>
      </c>
      <c r="D55" s="41">
        <f>'Financial Statements'!J7</f>
        <v>7.7937876041846058E-2</v>
      </c>
      <c r="E55" s="41">
        <f>'Financial Statements'!K7</f>
        <v>0.33259384733074693</v>
      </c>
      <c r="F55" s="41"/>
      <c r="G55" s="25"/>
    </row>
    <row r="56" spans="1:7" x14ac:dyDescent="0.25">
      <c r="D56" s="25"/>
      <c r="E56" s="25"/>
      <c r="F56" s="25"/>
      <c r="G56" s="25"/>
    </row>
    <row r="57" spans="1:7" x14ac:dyDescent="0.25">
      <c r="C57" t="s">
        <v>163</v>
      </c>
      <c r="D57" s="41">
        <f>'Financial Statements'!J9</f>
        <v>0.11741997958596143</v>
      </c>
      <c r="E57" s="41">
        <f>'Financial Statements'!K9</f>
        <v>0.45619116582186819</v>
      </c>
      <c r="F57" s="41"/>
      <c r="G57" s="25"/>
    </row>
    <row r="58" spans="1:7" x14ac:dyDescent="0.25">
      <c r="D58" s="41"/>
      <c r="E58" s="41"/>
      <c r="F58" s="41"/>
      <c r="G58" s="25"/>
    </row>
    <row r="59" spans="1:7" x14ac:dyDescent="0.25">
      <c r="C59" t="s">
        <v>164</v>
      </c>
      <c r="D59" s="41">
        <f>'Financial Statements'!J11</f>
        <v>0.19791001186456147</v>
      </c>
      <c r="E59" s="41">
        <f>'Financial Statements'!K11</f>
        <v>0.16862201365187712</v>
      </c>
      <c r="F59" s="41"/>
      <c r="G59" s="25"/>
    </row>
    <row r="60" spans="1:7" x14ac:dyDescent="0.25">
      <c r="C60" t="s">
        <v>165</v>
      </c>
      <c r="D60" s="41">
        <f>'Financial Statements'!J12</f>
        <v>0.14203795567287125</v>
      </c>
      <c r="E60" s="41">
        <f>'Financial Statements'!K12</f>
        <v>0.10328379192608958</v>
      </c>
      <c r="F60" s="41"/>
      <c r="G60" s="25"/>
    </row>
    <row r="61" spans="1:7" x14ac:dyDescent="0.25">
      <c r="C61" t="s">
        <v>166</v>
      </c>
      <c r="D61" s="41">
        <f>'Financial Statements'!J13</f>
        <v>0.16993642764372138</v>
      </c>
      <c r="E61" s="41">
        <f>'Financial Statements'!K13</f>
        <v>0.13496948381090307</v>
      </c>
      <c r="F61" s="41"/>
      <c r="G61" s="25"/>
    </row>
    <row r="62" spans="1:7" x14ac:dyDescent="0.25">
      <c r="D62" s="41"/>
      <c r="E62" s="41"/>
      <c r="F62" s="41"/>
      <c r="G62" s="25"/>
    </row>
    <row r="63" spans="1:7" x14ac:dyDescent="0.25">
      <c r="C63" t="s">
        <v>167</v>
      </c>
      <c r="D63" s="41">
        <f>'Financial Statements'!J15</f>
        <v>9.6265225013538444E-2</v>
      </c>
      <c r="E63" s="41">
        <f>'Financial Statements'!K15</f>
        <v>0.64357048032826458</v>
      </c>
      <c r="F63" s="41"/>
      <c r="G63" s="25"/>
    </row>
    <row r="64" spans="1:7" x14ac:dyDescent="0.25">
      <c r="D64" s="41"/>
      <c r="E64" s="41"/>
      <c r="F64" s="41"/>
      <c r="G64" s="25"/>
    </row>
    <row r="65" spans="3:8" x14ac:dyDescent="0.25">
      <c r="C65" t="s">
        <v>168</v>
      </c>
      <c r="D65" s="41">
        <f>'Financial Statements'!J17</f>
        <v>5.4108576256865229E-2</v>
      </c>
      <c r="E65" s="41">
        <f>'Financial Statements'!K17</f>
        <v>0.64916131055024295</v>
      </c>
      <c r="F65" s="41"/>
      <c r="G65" s="25"/>
    </row>
    <row r="66" spans="3:8" x14ac:dyDescent="0.25">
      <c r="D66" s="41"/>
      <c r="E66" s="41"/>
      <c r="F66" s="41"/>
      <c r="G66" s="25"/>
    </row>
    <row r="67" spans="3:8" x14ac:dyDescent="0.25">
      <c r="C67" t="s">
        <v>169</v>
      </c>
      <c r="D67" s="41">
        <f>'Financial Statements'!J19</f>
        <v>4.2199412619775131E-3</v>
      </c>
      <c r="E67" s="41">
        <f>'Financial Statements'!K19</f>
        <v>-6.176894226687913E-2</v>
      </c>
      <c r="F67" s="41"/>
      <c r="G67" s="25"/>
    </row>
    <row r="68" spans="3:8" x14ac:dyDescent="0.25">
      <c r="C68" t="s">
        <v>170</v>
      </c>
      <c r="D68" s="41">
        <f>'Financial Statements'!J20</f>
        <v>5.4772720964443994E-3</v>
      </c>
      <c r="E68" s="41">
        <f>'Financial Statements'!K20</f>
        <v>0.19975579297904814</v>
      </c>
      <c r="F68" s="41"/>
      <c r="G68" s="25"/>
    </row>
    <row r="69" spans="3:8" x14ac:dyDescent="0.25">
      <c r="C69" t="s">
        <v>171</v>
      </c>
      <c r="D69" s="41">
        <f>'Financial Statements'!J21</f>
        <v>4.9942735369029236E-3</v>
      </c>
      <c r="E69" s="41">
        <f>'Financial Statements'!K21</f>
        <v>8.3714123400681711E-2</v>
      </c>
      <c r="F69" s="41"/>
      <c r="G69" s="25"/>
    </row>
    <row r="70" spans="3:8" x14ac:dyDescent="0.25">
      <c r="C70" t="s">
        <v>172</v>
      </c>
      <c r="D70" s="41">
        <f>'Financial Statements'!J22</f>
        <v>0.22713398841258836</v>
      </c>
      <c r="E70" s="41">
        <f>'Financial Statements'!K22</f>
        <v>0.19061219067860938</v>
      </c>
      <c r="F70" s="41"/>
      <c r="G70" s="25"/>
    </row>
    <row r="71" spans="3:8" x14ac:dyDescent="0.25">
      <c r="C71" t="s">
        <v>173</v>
      </c>
      <c r="D71" s="41">
        <f>'Financial Statements'!J23</f>
        <v>-8.8222075835277747E-2</v>
      </c>
      <c r="E71" s="41">
        <f>'Financial Statements'!K23</f>
        <v>6.0552243775994566E-2</v>
      </c>
      <c r="F71" s="41"/>
      <c r="G71" s="25"/>
    </row>
    <row r="72" spans="3:8" x14ac:dyDescent="0.25">
      <c r="C72" t="s">
        <v>174</v>
      </c>
      <c r="D72" s="41">
        <f>'Financial Statements'!J24</f>
        <v>4.9219900525160468E-2</v>
      </c>
      <c r="E72" s="41">
        <f>'Financial Statements'!K24</f>
        <v>0.11356841449783213</v>
      </c>
      <c r="F72" s="41"/>
      <c r="G72" s="25"/>
    </row>
    <row r="73" spans="3:8" x14ac:dyDescent="0.25">
      <c r="C73" t="s">
        <v>175</v>
      </c>
      <c r="D73" s="41">
        <f>'Financial Statements'!J25</f>
        <v>-0.19682992550324932</v>
      </c>
      <c r="E73" s="41">
        <f>'Financial Statements'!K25</f>
        <v>-3.4420483937617659E-2</v>
      </c>
      <c r="F73" s="41"/>
      <c r="G73" s="25"/>
    </row>
    <row r="74" spans="3:8" x14ac:dyDescent="0.25">
      <c r="C74" t="s">
        <v>176</v>
      </c>
      <c r="D74" s="41">
        <f>'Financial Statements'!J26</f>
        <v>4.9942735369029236E-3</v>
      </c>
      <c r="E74" s="41">
        <f>'Financial Statements'!K26</f>
        <v>8.3714123400681711E-2</v>
      </c>
      <c r="F74" s="41"/>
      <c r="G74" s="25"/>
    </row>
    <row r="76" spans="3:8" x14ac:dyDescent="0.25">
      <c r="C76" t="s">
        <v>177</v>
      </c>
      <c r="D76" s="41">
        <f>'Financial Statements'!J35</f>
        <v>0.56690369438639909</v>
      </c>
      <c r="E76" s="41">
        <f>'Financial Statements'!K35</f>
        <v>0.58220640374832222</v>
      </c>
      <c r="F76" s="41"/>
      <c r="G76" s="41">
        <f>'Financial Statements'!L35</f>
        <v>0.61766752272189129</v>
      </c>
      <c r="H76" s="25"/>
    </row>
    <row r="77" spans="3:8" x14ac:dyDescent="0.25">
      <c r="C77" t="s">
        <v>178</v>
      </c>
      <c r="D77" s="41">
        <f>'Financial Statements'!J36</f>
        <v>0.43309630561360085</v>
      </c>
      <c r="E77" s="41">
        <f>'Financial Statements'!K36</f>
        <v>0.41779359625167778</v>
      </c>
      <c r="F77" s="41"/>
      <c r="G77" s="41">
        <f>'Financial Statements'!L36</f>
        <v>0.38233247727810865</v>
      </c>
      <c r="H77" s="25"/>
    </row>
    <row r="78" spans="3:8" x14ac:dyDescent="0.25">
      <c r="C78" t="s">
        <v>164</v>
      </c>
      <c r="D78" s="41">
        <f>'Financial Statements'!J37</f>
        <v>6.657148363798665E-2</v>
      </c>
      <c r="E78" s="41">
        <f>'Financial Statements'!K37</f>
        <v>5.9904269074427925E-2</v>
      </c>
      <c r="F78" s="41"/>
      <c r="G78" s="41">
        <f>'Financial Statements'!L37</f>
        <v>6.8309564140393061E-2</v>
      </c>
      <c r="H78" s="25"/>
    </row>
    <row r="79" spans="3:8" x14ac:dyDescent="0.25">
      <c r="C79" t="s">
        <v>179</v>
      </c>
      <c r="D79" s="41">
        <f>'Financial Statements'!J38</f>
        <v>6.3637378020328261E-2</v>
      </c>
      <c r="E79" s="41">
        <f>'Financial Statements'!K38</f>
        <v>6.006555190163388E-2</v>
      </c>
      <c r="F79" s="41"/>
      <c r="G79" s="41">
        <f>'Financial Statements'!L38</f>
        <v>7.2549769593646979E-2</v>
      </c>
      <c r="H79" s="25"/>
    </row>
    <row r="80" spans="3:8" x14ac:dyDescent="0.25">
      <c r="C80" t="s">
        <v>180</v>
      </c>
      <c r="D80" s="41">
        <f>'Financial Statements'!J39</f>
        <v>0.13020886165831491</v>
      </c>
      <c r="E80" s="41">
        <f>'Financial Statements'!K39</f>
        <v>0.11996982097606181</v>
      </c>
      <c r="F80" s="41"/>
      <c r="G80" s="41">
        <f>'Financial Statements'!L39</f>
        <v>0.14085933373404003</v>
      </c>
      <c r="H80" s="25"/>
    </row>
    <row r="81" spans="3:8" x14ac:dyDescent="0.25">
      <c r="C81" t="s">
        <v>167</v>
      </c>
      <c r="D81" s="41">
        <f>'Financial Statements'!J40</f>
        <v>0.30288744395528594</v>
      </c>
      <c r="E81" s="41">
        <f>'Financial Statements'!K40</f>
        <v>0.29782377527561593</v>
      </c>
      <c r="F81" s="41"/>
      <c r="G81" s="41">
        <f>'Financial Statements'!L40</f>
        <v>0.24147314354406862</v>
      </c>
      <c r="H81" s="25"/>
    </row>
    <row r="82" spans="3:8" x14ac:dyDescent="0.25">
      <c r="C82" t="s">
        <v>181</v>
      </c>
      <c r="D82" s="41">
        <f>'Financial Statements'!J41</f>
        <v>0.25309640705199732</v>
      </c>
      <c r="E82" s="41">
        <f>'Financial Statements'!K41</f>
        <v>0.25881793355694238</v>
      </c>
      <c r="F82" s="41"/>
      <c r="G82" s="41">
        <f>'Financial Statements'!L41</f>
        <v>0.20913611278072236</v>
      </c>
      <c r="H82" s="25"/>
    </row>
    <row r="84" spans="3:8" x14ac:dyDescent="0.25">
      <c r="C84" t="s">
        <v>182</v>
      </c>
      <c r="D84" s="41">
        <f>'Financial Statements'!J62</f>
        <v>0.19338096049216957</v>
      </c>
      <c r="E84" s="41">
        <f>'Financial Statements'!K62</f>
        <v>0.15343261512463033</v>
      </c>
      <c r="F84" s="41"/>
      <c r="G84" s="41">
        <f>'Financial Statements'!L62</f>
        <v>0.16860880319102611</v>
      </c>
      <c r="H84" s="25"/>
    </row>
    <row r="85" spans="3:8" x14ac:dyDescent="0.25">
      <c r="C85" t="s">
        <v>183</v>
      </c>
      <c r="D85" s="41">
        <f>'Financial Statements'!J56*-1</f>
        <v>2.7155058732831552E-2</v>
      </c>
      <c r="E85" s="41">
        <f>'Financial Statements'!K56*-1</f>
        <v>3.0302036264033657E-2</v>
      </c>
      <c r="F85" s="41"/>
      <c r="G85" s="41">
        <f>'Financial Statements'!L56</f>
        <v>-2.6625138881299748E-2</v>
      </c>
      <c r="H85" s="25"/>
    </row>
    <row r="86" spans="3:8" x14ac:dyDescent="0.25">
      <c r="C86" t="s">
        <v>184</v>
      </c>
      <c r="D86" s="41">
        <f>'Financial Statements'!J57*-1</f>
        <v>4.9266160570508394E-2</v>
      </c>
      <c r="E86" s="41">
        <f>'Financial Statements'!K57*-1</f>
        <v>5.1280034788079534E-2</v>
      </c>
      <c r="F86" s="41" t="s">
        <v>205</v>
      </c>
      <c r="G86" s="41">
        <f>'Financial Statements'!L57</f>
        <v>-4.0566116275842931E-2</v>
      </c>
      <c r="H86" s="25"/>
    </row>
  </sheetData>
  <mergeCells count="1">
    <mergeCell ref="C2:E2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Richard Horsley</cp:lastModifiedBy>
  <dcterms:created xsi:type="dcterms:W3CDTF">2020-05-18T16:32:37Z</dcterms:created>
  <dcterms:modified xsi:type="dcterms:W3CDTF">2023-09-20T22:04:32Z</dcterms:modified>
</cp:coreProperties>
</file>