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_D\"/>
    </mc:Choice>
  </mc:AlternateContent>
  <xr:revisionPtr revIDLastSave="0" documentId="13_ncr:1_{6B125ED5-607B-4510-B273-097A335B992A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E8" i="3"/>
  <c r="C8" i="3"/>
  <c r="D64" i="3" l="1"/>
  <c r="E64" i="3"/>
  <c r="C64" i="3"/>
  <c r="D65" i="3"/>
  <c r="E65" i="3"/>
  <c r="C65" i="3"/>
  <c r="D61" i="3"/>
  <c r="E61" i="3"/>
  <c r="C61" i="3"/>
  <c r="D60" i="3"/>
  <c r="E60" i="3"/>
  <c r="C60" i="3"/>
  <c r="D59" i="3"/>
  <c r="E59" i="3"/>
  <c r="C59" i="3"/>
  <c r="D58" i="3"/>
  <c r="E58" i="3"/>
  <c r="C58" i="3"/>
  <c r="D57" i="3"/>
  <c r="E57" i="3"/>
  <c r="C57" i="3"/>
  <c r="C55" i="3"/>
  <c r="D55" i="3"/>
  <c r="E55" i="3"/>
  <c r="D54" i="3"/>
  <c r="E54" i="3"/>
  <c r="C54" i="3"/>
  <c r="D51" i="3"/>
  <c r="E51" i="3"/>
  <c r="C51" i="3"/>
  <c r="D48" i="3"/>
  <c r="E48" i="3"/>
  <c r="C48" i="3"/>
  <c r="D47" i="3"/>
  <c r="E47" i="3"/>
  <c r="C47" i="3"/>
  <c r="D46" i="3"/>
  <c r="E46" i="3"/>
  <c r="C46" i="3"/>
  <c r="D44" i="3"/>
  <c r="E44" i="3"/>
  <c r="C44" i="3"/>
  <c r="E43" i="3"/>
  <c r="D43" i="3"/>
  <c r="C43" i="3"/>
  <c r="D41" i="3"/>
  <c r="E41" i="3"/>
  <c r="C41" i="3"/>
  <c r="D37" i="3"/>
  <c r="E37" i="3"/>
  <c r="C37" i="3"/>
  <c r="D30" i="3"/>
  <c r="E30" i="3"/>
  <c r="C30" i="3"/>
  <c r="D31" i="3"/>
  <c r="E31" i="3"/>
  <c r="C31" i="3"/>
  <c r="D29" i="3"/>
  <c r="E29" i="3"/>
  <c r="C29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E21" i="3"/>
  <c r="C21" i="3"/>
  <c r="D19" i="3"/>
  <c r="E19" i="3"/>
  <c r="C19" i="3"/>
  <c r="D6" i="3"/>
  <c r="E6" i="3"/>
  <c r="C6" i="3"/>
  <c r="C73" i="3" l="1"/>
  <c r="D73" i="3"/>
  <c r="D72" i="3"/>
  <c r="C72" i="3"/>
  <c r="D69" i="3"/>
  <c r="C69" i="3"/>
  <c r="D68" i="3"/>
  <c r="C68" i="3"/>
  <c r="E40" i="3"/>
  <c r="D42" i="3"/>
  <c r="E42" i="3"/>
  <c r="C42" i="3"/>
  <c r="D36" i="3"/>
  <c r="E36" i="3"/>
  <c r="C36" i="3"/>
  <c r="D40" i="3" l="1"/>
  <c r="C40" i="3"/>
  <c r="D108" i="1"/>
  <c r="C108" i="1"/>
  <c r="B108" i="1"/>
  <c r="D99" i="1"/>
  <c r="C99" i="1"/>
  <c r="B99" i="1"/>
  <c r="D68" i="1" l="1"/>
  <c r="C68" i="1"/>
  <c r="D76" i="3" s="1"/>
  <c r="B68" i="1"/>
  <c r="C76" i="3" s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E10" i="3" s="1"/>
  <c r="C12" i="1"/>
  <c r="D10" i="3" s="1"/>
  <c r="B12" i="1"/>
  <c r="C10" i="3" s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70" i="3" l="1"/>
  <c r="C35" i="3"/>
  <c r="C34" i="3"/>
  <c r="B48" i="1"/>
  <c r="C14" i="3"/>
  <c r="C13" i="3" s="1"/>
  <c r="C5" i="3"/>
  <c r="C11" i="3" s="1"/>
  <c r="E7" i="3"/>
  <c r="D13" i="1"/>
  <c r="E34" i="3"/>
  <c r="E35" i="3"/>
  <c r="D5" i="3"/>
  <c r="D11" i="3" s="1"/>
  <c r="D14" i="3"/>
  <c r="D13" i="3" s="1"/>
  <c r="E14" i="3"/>
  <c r="E13" i="3" s="1"/>
  <c r="E5" i="3"/>
  <c r="E11" i="3" s="1"/>
  <c r="C62" i="1"/>
  <c r="D7" i="3"/>
  <c r="D35" i="3"/>
  <c r="D70" i="3"/>
  <c r="D9" i="3"/>
  <c r="C9" i="3"/>
  <c r="E9" i="3"/>
  <c r="C7" i="3"/>
  <c r="B13" i="1"/>
  <c r="C13" i="1"/>
  <c r="B62" i="1"/>
  <c r="B18" i="1"/>
  <c r="C48" i="1"/>
  <c r="D74" i="3" s="1"/>
  <c r="D62" i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69" i="1" l="1"/>
  <c r="C75" i="3"/>
  <c r="C50" i="3"/>
  <c r="D12" i="3"/>
  <c r="D18" i="1"/>
  <c r="E17" i="3"/>
  <c r="C18" i="1"/>
  <c r="D17" i="3"/>
  <c r="D71" i="3"/>
  <c r="D34" i="3"/>
  <c r="C17" i="3"/>
  <c r="C71" i="3"/>
  <c r="C12" i="3"/>
  <c r="B20" i="1"/>
  <c r="D69" i="1"/>
  <c r="E50" i="3"/>
  <c r="D50" i="3"/>
  <c r="D75" i="3"/>
  <c r="E12" i="3"/>
  <c r="C74" i="3"/>
  <c r="A24" i="3"/>
  <c r="A25" i="3" s="1"/>
  <c r="A26" i="3" s="1"/>
  <c r="A27" i="3" s="1"/>
  <c r="A28" i="3" s="1"/>
  <c r="A29" i="3" s="1"/>
  <c r="A30" i="3" s="1"/>
  <c r="A33" i="3"/>
  <c r="C18" i="3" l="1"/>
  <c r="C20" i="3"/>
  <c r="D20" i="1"/>
  <c r="B22" i="1"/>
  <c r="C63" i="3"/>
  <c r="C20" i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E20" i="3" l="1"/>
  <c r="E18" i="3"/>
  <c r="E28" i="3"/>
  <c r="D20" i="3"/>
  <c r="D28" i="3"/>
  <c r="D18" i="3"/>
  <c r="D22" i="1"/>
  <c r="E63" i="3"/>
  <c r="C22" i="1"/>
  <c r="D63" i="3"/>
  <c r="B76" i="1"/>
  <c r="B91" i="1" s="1"/>
  <c r="B109" i="1" s="1"/>
  <c r="C49" i="3"/>
  <c r="C45" i="3"/>
  <c r="C76" i="1" l="1"/>
  <c r="C91" i="1" s="1"/>
  <c r="C109" i="1" s="1"/>
  <c r="D49" i="3"/>
  <c r="D45" i="3"/>
  <c r="D76" i="1"/>
  <c r="D91" i="1" s="1"/>
  <c r="D109" i="1" s="1"/>
  <c r="E49" i="3"/>
  <c r="E45" i="3"/>
</calcChain>
</file>

<file path=xl/sharedStrings.xml><?xml version="1.0" encoding="utf-8"?>
<sst xmlns="http://schemas.openxmlformats.org/spreadsheetml/2006/main" count="231" uniqueCount="194">
  <si>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</si>
  <si>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</si>
  <si>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</si>
  <si>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</si>
  <si>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</si>
  <si>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</si>
  <si>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</si>
  <si>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</si>
  <si>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</si>
  <si>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</si>
  <si>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</si>
  <si>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</si>
  <si>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</si>
  <si>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</si>
  <si>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</si>
  <si>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</si>
  <si>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</si>
  <si>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</si>
  <si>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</si>
  <si>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</si>
  <si>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</si>
  <si>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</si>
  <si>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</si>
  <si>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</si>
  <si>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</si>
  <si>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</si>
  <si>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</si>
  <si>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</si>
  <si>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</si>
  <si>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</si>
  <si>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</si>
  <si>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</si>
  <si>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</si>
  <si>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</si>
  <si>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</si>
  <si>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</si>
  <si>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</si>
  <si>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</si>
  <si>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</si>
  <si>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</si>
  <si>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</si>
  <si>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</si>
  <si>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</si>
  <si>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</si>
  <si>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</si>
  <si>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</si>
  <si>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</si>
  <si>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</si>
  <si>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</si>
  <si>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</si>
  <si>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</si>
  <si>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</si>
  <si>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</si>
  <si>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</si>
  <si>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</si>
  <si>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</si>
  <si>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</si>
  <si>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</si>
  <si>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</si>
  <si>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</si>
  <si>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</si>
  <si>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</si>
  <si>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</si>
  <si>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</si>
  <si>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</si>
  <si>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</si>
  <si>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</si>
  <si>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</si>
  <si>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</si>
  <si>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</si>
  <si>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</si>
  <si>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</si>
  <si>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</si>
  <si>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</si>
  <si>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</si>
  <si>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</si>
  <si>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</si>
  <si>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</si>
  <si>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</si>
  <si>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</si>
  <si>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</si>
  <si>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</si>
  <si>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</si>
  <si>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</si>
  <si>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</si>
  <si>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</si>
  <si>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</si>
  <si>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</si>
  <si>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</si>
  <si>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</si>
  <si>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</si>
  <si>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</si>
  <si>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</si>
  <si>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</si>
  <si>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</si>
  <si>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</si>
  <si>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</si>
  <si>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</si>
  <si>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</si>
  <si>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</si>
  <si>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</si>
  <si>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</si>
  <si>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</si>
  <si>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</si>
  <si>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</si>
  <si>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</si>
  <si>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</si>
  <si>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</si>
  <si>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</si>
  <si>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</si>
  <si>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</si>
  <si>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</si>
  <si>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</si>
  <si>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</si>
  <si>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</si>
  <si>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</si>
  <si>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</si>
  <si>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</si>
  <si>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</si>
  <si>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</si>
  <si>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</si>
  <si>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</si>
  <si>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</si>
  <si>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</si>
  <si>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</si>
  <si>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</si>
  <si>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</si>
  <si>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</si>
  <si>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</si>
  <si>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</si>
  <si>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</si>
  <si>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</si>
  <si>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</si>
  <si>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</si>
  <si>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</si>
  <si>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</si>
  <si>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</si>
  <si>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</si>
  <si>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</si>
  <si>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</si>
  <si>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</si>
  <si>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</si>
  <si>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</si>
  <si>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</si>
  <si>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</si>
  <si>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</si>
  <si>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</si>
  <si>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</si>
  <si>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</si>
  <si>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</si>
  <si>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Days</t>
  </si>
  <si>
    <t>Share Price ($) - Yahoo! Finance</t>
  </si>
  <si>
    <t>Growth Margins</t>
  </si>
  <si>
    <t>Sales - Products</t>
  </si>
  <si>
    <t>Sales - Services</t>
  </si>
  <si>
    <t>Net Sales</t>
  </si>
  <si>
    <t>Gross Profit</t>
  </si>
  <si>
    <t>Research &amp; Development</t>
  </si>
  <si>
    <t>Selling,General, &amp; Administrative</t>
  </si>
  <si>
    <t>Operating Income</t>
  </si>
  <si>
    <t>Net Profit</t>
  </si>
  <si>
    <t>Income Tax Rate</t>
  </si>
  <si>
    <t>Capex as Percentage of Sales</t>
  </si>
  <si>
    <t>Capex as Percentage of Fixed Assets</t>
  </si>
  <si>
    <t>Total Assets</t>
  </si>
  <si>
    <t>Total Liabilities</t>
  </si>
  <si>
    <t>Total Shareholders' Equity</t>
  </si>
  <si>
    <t>Growth Rates (%)</t>
  </si>
  <si>
    <t>N/A</t>
  </si>
  <si>
    <t>Include marketable securities as well for the numerator</t>
  </si>
  <si>
    <t>Daily Operational Expenses = Annual Operating Expenses - Noncash Charges i.e. Depreciation &amp; Amortization</t>
  </si>
  <si>
    <t>EBITDA = Operating income + Depreciation &amp; amortization</t>
  </si>
  <si>
    <t>Net income/Sales revenue</t>
  </si>
  <si>
    <t>Term debt (under long term liabilities)/Total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</si>
  <si>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</si>
  <si>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</si>
  <si>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Net Operating Income/ Interest payments (can be found at the bottom of cash flow)</t>
  </si>
  <si>
    <t>Net Operating Income/ (Interest + Debt repayment)</t>
  </si>
  <si>
    <t>FCFE/Diluted number of shares</t>
  </si>
  <si>
    <t>Cash flow from operations - Capex + Debt issuance</t>
  </si>
  <si>
    <t>Net income/Total assets</t>
  </si>
  <si>
    <t>Link diluted EPS</t>
  </si>
  <si>
    <t>Total shareholder equity/Diluted number of shares and divide this number by 1000, because equity is in millions and share count is an absolute value</t>
  </si>
  <si>
    <t>Link dividend paid with - sign to make it a positive figure</t>
  </si>
  <si>
    <t>DPS/Share price</t>
  </si>
  <si>
    <t>Net income/Shareholder equity</t>
  </si>
  <si>
    <t>Use only Shareholder equity and Term debt for capital employed. Other items are not actual capital</t>
  </si>
  <si>
    <t>Market capitalization  (divide this number by 1000, because equity is in millions and share count is an absolute value) + Long term debt - Cash &amp; cash equivalents</t>
  </si>
  <si>
    <t>Don’t multiply the amount by 100, use % formatting instead</t>
  </si>
  <si>
    <t>Growth = (Current year value - Prior year value)/Prior year value</t>
  </si>
  <si>
    <t>Margin = Value/Total revenue</t>
  </si>
  <si>
    <t>Purchase of PPE (in cash flow)/Sales revenue</t>
  </si>
  <si>
    <t>Purchase of PPE (in cash flow)/Property plant &amp; equipment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</si>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</sst>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000000000"/>
    <numFmt numFmtId="168" formatCode="0.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9" fontId="0" fillId="0" borderId="0" xfId="3" applyFon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  <xf numFmtId="167" fontId="0" fillId="0" borderId="0" xfId="0" applyNumberFormat="1"/>
    <xf numFmtId="168" fontId="0" fillId="0" borderId="0" xfId="0" applyNumberFormat="1"/>
    <xf numFmtId="10" fontId="0" fillId="0" borderId="0" xfId="0" applyNumberFormat="1"/>
    <xf numFmtId="10" fontId="0" fillId="0" borderId="0" xfId="3" applyNumberFormat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3" workbookViewId="0">
      <selection activeCell="B45" sqref="B45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7" t="s">
        <v>1</v>
      </c>
      <c r="B2" s="27"/>
      <c r="C2" s="27"/>
      <c r="D2" s="27"/>
    </row>
    <row r="3" spans="1:10" x14ac:dyDescent="0.25">
      <c r="B3" s="26" t="s">
        <v>23</v>
      </c>
      <c r="C3" s="26"/>
      <c r="D3" s="26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  <c r="I5" s="7" t="s">
        <v>150</v>
      </c>
      <c r="J5">
        <v>366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  <c r="J6">
        <v>365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29" spans="1:4" x14ac:dyDescent="0.25">
      <c r="A29" s="1" t="s">
        <v>151</v>
      </c>
      <c r="B29">
        <v>157.96</v>
      </c>
      <c r="C29">
        <v>152.51</v>
      </c>
      <c r="D29">
        <v>134.18</v>
      </c>
    </row>
    <row r="31" spans="1:4" x14ac:dyDescent="0.25">
      <c r="A31" s="27" t="s">
        <v>24</v>
      </c>
      <c r="B31" s="27"/>
      <c r="C31" s="27"/>
      <c r="D31" s="27"/>
    </row>
    <row r="32" spans="1:4" x14ac:dyDescent="0.25">
      <c r="B32" s="26" t="s">
        <v>142</v>
      </c>
      <c r="C32" s="26"/>
      <c r="D32" s="26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7" t="s">
        <v>55</v>
      </c>
      <c r="B71" s="27"/>
      <c r="C71" s="27"/>
      <c r="D71" s="27"/>
    </row>
    <row r="72" spans="1:4" x14ac:dyDescent="0.25">
      <c r="B72" s="26" t="s">
        <v>23</v>
      </c>
      <c r="C72" s="26"/>
      <c r="D72" s="26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6"/>
  <sheetViews>
    <sheetView tabSelected="1" workbookViewId="0">
      <selection activeCell="C69" sqref="C69"/>
    </sheetView>
  </sheetViews>
  <sheetFormatPr defaultRowHeight="15" x14ac:dyDescent="0.25"/>
  <cols>
    <col min="1" max="1" width="4.7109375" customWidth="1"/>
    <col min="2" max="2" width="44.85546875" customWidth="1"/>
    <col min="3" max="5" width="16.7109375" bestFit="1" customWidth="1"/>
    <col min="6" max="6" width="31.5703125" customWidth="1"/>
  </cols>
  <sheetData>
    <row r="1" spans="1:13" ht="60" customHeight="1" x14ac:dyDescent="0.4">
      <c r="A1" s="6"/>
      <c r="B1" s="20" t="s">
        <v>0</v>
      </c>
      <c r="C1" s="19"/>
      <c r="D1" s="19"/>
      <c r="E1" s="19"/>
      <c r="F1" s="25" t="s">
        <v>193</v>
      </c>
      <c r="G1" s="19"/>
      <c r="H1" s="19"/>
      <c r="I1" s="19"/>
      <c r="J1" s="19"/>
    </row>
    <row r="2" spans="1:13" x14ac:dyDescent="0.25">
      <c r="C2" s="26" t="s">
        <v>23</v>
      </c>
      <c r="D2" s="26"/>
      <c r="E2" s="26"/>
    </row>
    <row r="3" spans="1:13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3" x14ac:dyDescent="0.25">
      <c r="A4" s="18">
        <v>1</v>
      </c>
      <c r="B4" s="7" t="s">
        <v>99</v>
      </c>
    </row>
    <row r="5" spans="1:13" x14ac:dyDescent="0.25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3" x14ac:dyDescent="0.25">
      <c r="A6" s="18">
        <f t="shared" ref="A6:A13" si="0">+A5+0.1</f>
        <v>1.2000000000000002</v>
      </c>
      <c r="B6" s="1" t="s">
        <v>101</v>
      </c>
      <c r="C6" s="23">
        <f>('Financial Statements'!B36+'Financial Statements'!B38+'Financial Statements'!B37)/'Financial Statements'!B56</f>
        <v>0.49673338442155579</v>
      </c>
      <c r="D6" s="23">
        <f>('Financial Statements'!C36+'Financial Statements'!C38+'Financial Statements'!C37)/'Financial Statements'!C56</f>
        <v>0.70860927152317876</v>
      </c>
      <c r="E6" s="23">
        <f>('Financial Statements'!D36+'Financial Statements'!D38+'Financial Statements'!D37)/'Financial Statements'!D56</f>
        <v>1.0158550933657204</v>
      </c>
      <c r="F6" s="28" t="s">
        <v>169</v>
      </c>
      <c r="G6" s="28"/>
      <c r="H6" s="28"/>
    </row>
    <row r="7" spans="1:13" x14ac:dyDescent="0.25">
      <c r="A7" s="18">
        <f t="shared" si="0"/>
        <v>1.3000000000000003</v>
      </c>
      <c r="B7" s="1" t="s">
        <v>102</v>
      </c>
      <c r="C7" s="23">
        <f>('Financial Statements'!B36)/'Financial Statements'!B56</f>
        <v>0.15356340351469652</v>
      </c>
      <c r="D7" s="23">
        <f>('Financial Statements'!C36)/'Financial Statements'!C56</f>
        <v>0.27844853005634318</v>
      </c>
      <c r="E7" s="23">
        <f>('Financial Statements'!D36)/'Financial Statements'!D56</f>
        <v>0.36071049035979963</v>
      </c>
    </row>
    <row r="8" spans="1:13" x14ac:dyDescent="0.25">
      <c r="A8" s="18">
        <f t="shared" si="0"/>
        <v>1.4000000000000004</v>
      </c>
      <c r="B8" s="1" t="s">
        <v>103</v>
      </c>
      <c r="C8" s="23">
        <f>IF(OR(MOD(C3,4)=0,AND(MOD(C3,100)&lt;&gt;0,MOD(C3,400)=0)),'Financial Statements'!B42/(('Financial Statements'!B17-'Financial Statements'!B79)/'Financial Statements'!$J$5), 'Financial Statements'!B42/(('Financial Statements'!B17-'Financial Statements'!B79)/'Financial Statements'!$J$6))</f>
        <v>1228.1708953554833</v>
      </c>
      <c r="D8" s="23">
        <f>IF(OR(MOD(D3,4)=0,AND(MOD(D3,100)&lt;&gt;0,MOD(D3,400)=0)),'Financial Statements'!C42/(('Financial Statements'!C17-'Financial Statements'!C79)/'Financial Statements'!$J$5), 'Financial Statements'!C42/(('Financial Statements'!C17-'Financial Statements'!C79)/'Financial Statements'!$J$6))</f>
        <v>1509.5279575499187</v>
      </c>
      <c r="E8" s="23">
        <f>IF(OR(MOD(E3,4)=0,AND(MOD(E3,100)&lt;&gt;0,MOD(E3,400)=0)),'Financial Statements'!D42/(('Financial Statements'!D17-'Financial Statements'!D79)/'Financial Statements'!$J$5), 'Financial Statements'!D42/(('Financial Statements'!D17-'Financial Statements'!D79)/'Financial Statements'!$J$6))</f>
        <v>1904.9311169056932</v>
      </c>
      <c r="F8" s="28" t="s">
        <v>170</v>
      </c>
      <c r="G8" s="28"/>
      <c r="H8" s="28"/>
      <c r="I8" s="28"/>
      <c r="J8" s="28"/>
      <c r="K8" s="28"/>
      <c r="L8" s="28"/>
      <c r="M8" s="28"/>
    </row>
    <row r="9" spans="1:13" x14ac:dyDescent="0.25">
      <c r="A9" s="18">
        <f t="shared" si="0"/>
        <v>1.5000000000000004</v>
      </c>
      <c r="B9" s="1" t="s">
        <v>104</v>
      </c>
      <c r="C9" s="23">
        <f>IF(OR(MOD(C3, 4)=0, AND(MOD(C3, 100)&lt;&gt;0, MOD(C3, 400)=0)),('Financial Statements'!B39/'Financial Statements'!B12)*'Financial Statements'!$J$5,('Financial Statements'!B39/'Financial Statements'!B12)*'Financial Statements'!$J$6)</f>
        <v>8.0756980666171607</v>
      </c>
      <c r="D9" s="23">
        <f>IF(OR(MOD(D3, 4)=0, AND(MOD(D3, 100)&lt;&gt;0, MOD(D3, 400)=0)),('Financial Statements'!C39/'Financial Statements'!C12)*'Financial Statements'!$J$5,('Financial Statements'!C39/'Financial Statements'!C12)*'Financial Statements'!$J$6)</f>
        <v>11.27659274770989</v>
      </c>
      <c r="E9" s="23">
        <f>IF(OR(MOD(E3, 4)=0, AND(MOD(E3, 100)&lt;&gt;0, MOD(E3, 400)=0)),('Financial Statements'!D39/'Financial Statements'!D12)*'Financial Statements'!$J$5,('Financial Statements'!D39/'Financial Statements'!D12)*'Financial Statements'!$J$6)</f>
        <v>8.7658337215954329</v>
      </c>
    </row>
    <row r="10" spans="1:13" x14ac:dyDescent="0.25">
      <c r="A10" s="18">
        <f t="shared" si="0"/>
        <v>1.6000000000000005</v>
      </c>
      <c r="B10" s="1" t="s">
        <v>105</v>
      </c>
      <c r="C10" s="23">
        <f>IF(OR(MOD(C4, 4)=0, AND(MOD(C4, 100)&lt;&gt;0, MOD(C4, 400)=0)), ('Financial Statements'!B51/'Financial Statements'!B12)*'Financial Statements'!$J$5, ('Financial Statements'!B51/'Financial Statements'!B12)*'Financial Statements'!$J$6)</f>
        <v>104.97208628201801</v>
      </c>
      <c r="D10" s="23">
        <f>IF(OR(MOD(D4, 4)=0, AND(MOD(D4, 100)&lt;&gt;0, MOD(D4, 400)=0)), ('Financial Statements'!C51/'Financial Statements'!C12)*'Financial Statements'!$J$5, ('Financial Statements'!C51/'Financial Statements'!C12)*'Financial Statements'!$J$6)</f>
        <v>94.108197444842489</v>
      </c>
      <c r="E10" s="23">
        <f>IF(OR(MOD(E4, 4)=0, AND(MOD(E4, 100)&lt;&gt;0, MOD(E4, 400)=0)), ('Financial Statements'!D51/'Financial Statements'!D12)*'Financial Statements'!$J$5, ('Financial Statements'!D51/'Financial Statements'!D12)*'Financial Statements'!$J$6)</f>
        <v>91.297636810785633</v>
      </c>
    </row>
    <row r="11" spans="1:13" x14ac:dyDescent="0.25">
      <c r="A11" s="18">
        <f t="shared" si="0"/>
        <v>1.7000000000000006</v>
      </c>
      <c r="B11" s="1" t="s">
        <v>106</v>
      </c>
      <c r="C11" s="23">
        <f>IF(OR(MOD(C5, 4)=0, AND(MOD(C5, 100)&lt;&gt;0, MOD(C5, 400)=0)), ('Financial Statements'!B38/'Financial Statements'!B12)*'Financial Statements'!$J$5, ('Financial Statements'!B38/'Financial Statements'!B12)*'Financial Statements'!$J$6)</f>
        <v>46.018090236461397</v>
      </c>
      <c r="D11" s="23">
        <f>IF(OR(MOD(D5, 4)=0, AND(MOD(D5, 100)&lt;&gt;0, MOD(D5, 400)=0)), ('Financial Statements'!C38/'Financial Statements'!C12)*'Financial Statements'!$J$5, ('Financial Statements'!C38/'Financial Statements'!C12)*'Financial Statements'!$J$6)</f>
        <v>45.034392739258436</v>
      </c>
      <c r="E11" s="23">
        <f>IF(OR(MOD(E5, 4)=0, AND(MOD(E5, 100)&lt;&gt;0, MOD(E5, 400)=0)), ('Financial Statements'!D38/'Financial Statements'!D12)*'Financial Statements'!$J$5, ('Financial Statements'!D38/'Financial Statements'!D12)*'Financial Statements'!$J$6)</f>
        <v>34.700605688875257</v>
      </c>
    </row>
    <row r="12" spans="1:13" x14ac:dyDescent="0.25">
      <c r="A12" s="18">
        <f t="shared" si="0"/>
        <v>1.8000000000000007</v>
      </c>
      <c r="B12" s="1" t="s">
        <v>107</v>
      </c>
      <c r="C12" s="23">
        <f>(C11+C9)-C10</f>
        <v>-50.878297978939457</v>
      </c>
      <c r="D12" s="23">
        <f t="shared" ref="D12:E12" si="1">(D11+D9)-D10</f>
        <v>-37.797211957874161</v>
      </c>
      <c r="E12" s="23">
        <f t="shared" si="1"/>
        <v>-47.831197400314942</v>
      </c>
    </row>
    <row r="13" spans="1:13" x14ac:dyDescent="0.25">
      <c r="A13" s="18">
        <f t="shared" si="0"/>
        <v>1.9000000000000008</v>
      </c>
      <c r="B13" s="1" t="s">
        <v>108</v>
      </c>
      <c r="C13" s="23">
        <f>C14/'Financial Statements'!B8*100</f>
        <v>-4.7110527276784806</v>
      </c>
      <c r="D13" s="23">
        <f>D14/'Financial Statements'!C8*100</f>
        <v>2.5572895737486232</v>
      </c>
      <c r="E13" s="23">
        <f>E14/'Financial Statements'!D8*100</f>
        <v>13.959528623208204</v>
      </c>
    </row>
    <row r="14" spans="1:13" x14ac:dyDescent="0.25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3" x14ac:dyDescent="0.25">
      <c r="A15" s="18"/>
    </row>
    <row r="16" spans="1:13" x14ac:dyDescent="0.25">
      <c r="A16" s="18">
        <f>+A4+1</f>
        <v>2</v>
      </c>
      <c r="B16" s="17" t="s">
        <v>110</v>
      </c>
    </row>
    <row r="17" spans="1:13" x14ac:dyDescent="0.25">
      <c r="A17" s="18">
        <f>+A16+0.1</f>
        <v>2.1</v>
      </c>
      <c r="B17" s="1" t="s">
        <v>9</v>
      </c>
      <c r="C17" s="23">
        <f>'Financial Statements'!B13*(100/'Financial Statements'!B8)</f>
        <v>43.309630561360088</v>
      </c>
      <c r="D17" s="23">
        <f>'Financial Statements'!C13*(100/'Financial Statements'!C8)</f>
        <v>41.779359625167771</v>
      </c>
      <c r="E17" s="23">
        <f>'Financial Statements'!D13*(100/'Financial Statements'!D8)</f>
        <v>38.233247727810863</v>
      </c>
    </row>
    <row r="18" spans="1:13" x14ac:dyDescent="0.25">
      <c r="A18" s="18">
        <f>+A17+0.1</f>
        <v>2.2000000000000002</v>
      </c>
      <c r="B18" s="1" t="s">
        <v>111</v>
      </c>
      <c r="C18" s="23">
        <f>(C19/'Financial Statements'!B8)*100</f>
        <v>33.104674281308959</v>
      </c>
      <c r="D18" s="23">
        <f>(D19/'Financial Statements'!C8)*100</f>
        <v>32.86697993805646</v>
      </c>
      <c r="E18" s="23">
        <f>(E19/'Financial Statements'!D8)*100</f>
        <v>28.174780977360069</v>
      </c>
    </row>
    <row r="19" spans="1:13" x14ac:dyDescent="0.25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  <c r="F19" s="28" t="s">
        <v>171</v>
      </c>
      <c r="G19" s="28"/>
      <c r="H19" s="28"/>
    </row>
    <row r="20" spans="1:13" x14ac:dyDescent="0.25">
      <c r="A20" s="18">
        <f>+A18+0.1</f>
        <v>2.3000000000000003</v>
      </c>
      <c r="B20" s="1" t="s">
        <v>113</v>
      </c>
      <c r="C20">
        <f>(C21/'Financial Statements'!B8)*100</f>
        <v>30.288744395528592</v>
      </c>
      <c r="D20">
        <f>(D21/'Financial Statements'!C8)*100</f>
        <v>29.782377527561593</v>
      </c>
      <c r="E20">
        <f>(E21/'Financial Statements'!D8)*100</f>
        <v>24.147314354406863</v>
      </c>
    </row>
    <row r="21" spans="1:13" x14ac:dyDescent="0.25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  <c r="F21" s="28" t="s">
        <v>14</v>
      </c>
    </row>
    <row r="22" spans="1:13" x14ac:dyDescent="0.25">
      <c r="A22" s="18">
        <f>+A20+0.1</f>
        <v>2.4000000000000004</v>
      </c>
      <c r="B22" s="1" t="s">
        <v>115</v>
      </c>
      <c r="C22">
        <f>100*('Financial Statements'!B22/'Financial Statements'!B8)</f>
        <v>25.309640705199733</v>
      </c>
      <c r="D22">
        <f>100*('Financial Statements'!C22/'Financial Statements'!C8)</f>
        <v>25.881793355694239</v>
      </c>
      <c r="E22">
        <f>100*('Financial Statements'!D22/'Financial Statements'!D8)</f>
        <v>20.913611278072235</v>
      </c>
      <c r="F22" s="28" t="s">
        <v>172</v>
      </c>
    </row>
    <row r="23" spans="1:13" x14ac:dyDescent="0.25">
      <c r="A23" s="18"/>
    </row>
    <row r="24" spans="1:13" x14ac:dyDescent="0.25">
      <c r="A24" s="18">
        <f>+A16+1</f>
        <v>3</v>
      </c>
      <c r="B24" s="7" t="s">
        <v>116</v>
      </c>
    </row>
    <row r="25" spans="1:13" x14ac:dyDescent="0.25">
      <c r="A25" s="18">
        <f>+A24+0.1</f>
        <v>3.1</v>
      </c>
      <c r="B25" s="1" t="s">
        <v>117</v>
      </c>
      <c r="C25" s="23">
        <f>'Financial Statements'!B59/'Financial Statements'!B68</f>
        <v>1.9529325860435744</v>
      </c>
      <c r="D25" s="23">
        <f>'Financial Statements'!C59/'Financial Statements'!C68</f>
        <v>1.729370740212395</v>
      </c>
      <c r="E25" s="23">
        <f>'Financial Statements'!D59/'Financial Statements'!D68</f>
        <v>1.5100782075024104</v>
      </c>
      <c r="F25" s="28" t="s">
        <v>173</v>
      </c>
      <c r="G25" s="28"/>
      <c r="H25" s="28"/>
      <c r="I25" s="28"/>
    </row>
    <row r="26" spans="1:13" x14ac:dyDescent="0.25">
      <c r="A26" s="18">
        <f t="shared" ref="A26:A30" si="2">+A25+0.1</f>
        <v>3.2</v>
      </c>
      <c r="B26" s="1" t="s">
        <v>118</v>
      </c>
      <c r="C26" s="23">
        <f>('Financial Statements'!B59)/'Financial Statements'!B48</f>
        <v>0.28053181386514719</v>
      </c>
      <c r="D26" s="23">
        <f>('Financial Statements'!C59)/'Financial Statements'!C48</f>
        <v>0.31084153366647482</v>
      </c>
      <c r="E26" s="23">
        <f>('Financial Statements'!D59)/'Financial Statements'!D48</f>
        <v>0.30463308304105124</v>
      </c>
      <c r="F26" s="28" t="s">
        <v>174</v>
      </c>
      <c r="G26" s="28"/>
      <c r="H26" s="28"/>
      <c r="I26" s="28"/>
      <c r="J26" s="28"/>
      <c r="K26" s="28"/>
      <c r="L26" s="28"/>
      <c r="M26" s="28"/>
    </row>
    <row r="27" spans="1:13" x14ac:dyDescent="0.25">
      <c r="A27" s="18">
        <f t="shared" si="2"/>
        <v>3.3000000000000003</v>
      </c>
      <c r="B27" s="1" t="s">
        <v>119</v>
      </c>
      <c r="C27" s="23">
        <f>'Financial Statements'!B59/'Financial Statements'!B68</f>
        <v>1.9529325860435744</v>
      </c>
      <c r="D27" s="23">
        <f>'Financial Statements'!C59/'Financial Statements'!C68</f>
        <v>1.729370740212395</v>
      </c>
      <c r="E27" s="23">
        <f>'Financial Statements'!D59/'Financial Statements'!D68</f>
        <v>1.5100782075024104</v>
      </c>
      <c r="F27" s="28" t="s">
        <v>175</v>
      </c>
      <c r="G27" s="28"/>
      <c r="H27" s="28"/>
      <c r="I27" s="28"/>
      <c r="J27" s="28"/>
      <c r="K27" s="28"/>
      <c r="L27" s="28"/>
      <c r="M27" s="28"/>
    </row>
    <row r="28" spans="1:13" x14ac:dyDescent="0.25">
      <c r="A28" s="18">
        <f t="shared" si="2"/>
        <v>3.4000000000000004</v>
      </c>
      <c r="B28" s="1" t="s">
        <v>120</v>
      </c>
      <c r="C28" s="23">
        <f>'Financial Statements'!B18/'Financial Statements'!B114</f>
        <v>41.68830715532286</v>
      </c>
      <c r="D28" s="23">
        <f>D19/'Financial Statements'!C19</f>
        <v>466.01937984496124</v>
      </c>
      <c r="E28" s="23">
        <f>E19/'Financial Statements'!D19</f>
        <v>96.318804483188046</v>
      </c>
      <c r="F28" s="28" t="s">
        <v>176</v>
      </c>
      <c r="G28" s="28"/>
      <c r="H28" s="28"/>
      <c r="I28" s="28"/>
      <c r="J28" s="28"/>
      <c r="K28" s="28"/>
    </row>
    <row r="29" spans="1:13" x14ac:dyDescent="0.25">
      <c r="A29" s="18">
        <f t="shared" si="2"/>
        <v>3.5000000000000004</v>
      </c>
      <c r="B29" s="1" t="s">
        <v>121</v>
      </c>
      <c r="C29" s="23">
        <f>'Financial Statements'!B18/('Financial Statements'!B106+'Financial Statements'!B114)</f>
        <v>17.512756598240468</v>
      </c>
      <c r="D29" s="23">
        <f>'Financial Statements'!C18/('Financial Statements'!C106+'Financial Statements'!C114)</f>
        <v>29.374224858452415</v>
      </c>
      <c r="E29" s="23">
        <f>'Financial Statements'!D18/('Financial Statements'!D106+'Financial Statements'!D114)</f>
        <v>32.510053948013734</v>
      </c>
      <c r="F29" s="28" t="s">
        <v>177</v>
      </c>
      <c r="G29" s="28"/>
      <c r="H29" s="28"/>
    </row>
    <row r="30" spans="1:13" x14ac:dyDescent="0.25">
      <c r="A30" s="18">
        <f t="shared" si="2"/>
        <v>3.6000000000000005</v>
      </c>
      <c r="B30" s="1" t="s">
        <v>122</v>
      </c>
      <c r="C30" s="23">
        <f>C31/'Financial Statements'!B28</f>
        <v>7.7925646486709183E-3</v>
      </c>
      <c r="D30" s="23">
        <f>D31/'Financial Statements'!C28</f>
        <v>7.3662968674797664E-3</v>
      </c>
      <c r="E30" s="23">
        <f>E31/'Financial Statements'!D28</f>
        <v>5.3067585779133005E-3</v>
      </c>
      <c r="F30" s="28" t="s">
        <v>178</v>
      </c>
    </row>
    <row r="31" spans="1:13" x14ac:dyDescent="0.25">
      <c r="A31" s="18"/>
      <c r="B31" s="3" t="s">
        <v>123</v>
      </c>
      <c r="C31" s="23">
        <f>'Financial Statements'!B91-'Financial Statements'!B96-'Financial Statements'!B79+'Financial Statements'!B104</f>
        <v>127220</v>
      </c>
      <c r="D31" s="23">
        <f>'Financial Statements'!C91-'Financial Statements'!C96-'Financial Statements'!C79+'Financial Statements'!C104</f>
        <v>124232</v>
      </c>
      <c r="E31" s="23">
        <f>'Financial Statements'!D91-'Financial Statements'!D96-'Financial Statements'!D79+'Financial Statements'!D104</f>
        <v>93018</v>
      </c>
      <c r="F31" s="28" t="s">
        <v>179</v>
      </c>
      <c r="G31" s="28"/>
      <c r="H31" s="28"/>
    </row>
    <row r="32" spans="1:13" x14ac:dyDescent="0.25">
      <c r="A32" s="18"/>
      <c r="C32" s="23"/>
      <c r="D32" s="23"/>
      <c r="E32" s="23"/>
    </row>
    <row r="33" spans="1:17" x14ac:dyDescent="0.25">
      <c r="A33" s="18">
        <f>+A24+1</f>
        <v>4</v>
      </c>
      <c r="B33" s="17" t="s">
        <v>124</v>
      </c>
      <c r="C33" s="23"/>
      <c r="D33" s="23"/>
      <c r="E33" s="23"/>
    </row>
    <row r="34" spans="1:17" x14ac:dyDescent="0.25">
      <c r="A34" s="18">
        <f>+A33+0.1</f>
        <v>4.0999999999999996</v>
      </c>
      <c r="B34" s="1" t="s">
        <v>125</v>
      </c>
      <c r="C34" s="23">
        <f>'Financial Statements'!B8/'Financial Statements'!B48</f>
        <v>1.1178523337727317</v>
      </c>
      <c r="D34" s="23">
        <f>'Financial Statements'!C8/'Financial Statements'!C48</f>
        <v>1.0422077367080529</v>
      </c>
      <c r="E34" s="23">
        <f>'Financial Statements'!D8/'Financial Statements'!D48</f>
        <v>0.84756150274168851</v>
      </c>
    </row>
    <row r="35" spans="1:17" x14ac:dyDescent="0.25">
      <c r="A35" s="18">
        <f t="shared" ref="A35:A37" si="3">+A34+0.1</f>
        <v>4.1999999999999993</v>
      </c>
      <c r="B35" s="1" t="s">
        <v>126</v>
      </c>
      <c r="C35" s="23">
        <f>'Financial Statements'!B8/'Financial Statements'!B45</f>
        <v>9.3626801529073767</v>
      </c>
      <c r="D35" s="23">
        <f>'Financial Statements'!C8/'Financial Statements'!C45</f>
        <v>9.2752789046653152</v>
      </c>
      <c r="E35" s="23">
        <f>'Financial Statements'!D8/'Financial Statements'!D45</f>
        <v>7.4665451776097482</v>
      </c>
    </row>
    <row r="36" spans="1:17" x14ac:dyDescent="0.25">
      <c r="A36" s="18">
        <f t="shared" si="3"/>
        <v>4.2999999999999989</v>
      </c>
      <c r="B36" s="1" t="s">
        <v>127</v>
      </c>
      <c r="C36" s="23">
        <f>'Financial Statements'!B10/'Financial Statements'!B39</f>
        <v>40.734128588758594</v>
      </c>
      <c r="D36" s="23">
        <f>'Financial Statements'!C10/'Financial Statements'!C39</f>
        <v>29.219756838905774</v>
      </c>
      <c r="E36" s="23">
        <f>'Financial Statements'!D10/'Financial Statements'!D39</f>
        <v>37.253385865550356</v>
      </c>
    </row>
    <row r="37" spans="1:17" x14ac:dyDescent="0.25">
      <c r="A37" s="18">
        <f t="shared" si="3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F37" s="28" t="s">
        <v>180</v>
      </c>
    </row>
    <row r="38" spans="1:17" x14ac:dyDescent="0.25">
      <c r="A38" s="18"/>
      <c r="C38" s="23"/>
      <c r="D38" s="23"/>
      <c r="E38" s="23"/>
    </row>
    <row r="39" spans="1:17" x14ac:dyDescent="0.25">
      <c r="A39" s="18">
        <f>+A33+1</f>
        <v>5</v>
      </c>
      <c r="B39" s="17" t="s">
        <v>129</v>
      </c>
      <c r="C39" s="23"/>
      <c r="D39" s="23"/>
      <c r="E39" s="23"/>
    </row>
    <row r="40" spans="1:17" x14ac:dyDescent="0.25">
      <c r="A40" s="18">
        <f>+A39+0.1</f>
        <v>5.0999999999999996</v>
      </c>
      <c r="B40" s="1" t="s">
        <v>130</v>
      </c>
      <c r="C40" s="23">
        <f>'Financial Statements'!B29/'List of Ratios'!C41</f>
        <v>25.852700490998362</v>
      </c>
      <c r="D40" s="23">
        <f>'Financial Statements'!C29/'List of Ratios'!D41</f>
        <v>27.185383244206772</v>
      </c>
      <c r="E40" s="23">
        <f>'Financial Statements'!D29/'List of Ratios'!E41</f>
        <v>40.908536585365859</v>
      </c>
    </row>
    <row r="41" spans="1:17" x14ac:dyDescent="0.25">
      <c r="A41" s="18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  <c r="F41" s="28" t="s">
        <v>181</v>
      </c>
    </row>
    <row r="42" spans="1:17" x14ac:dyDescent="0.25">
      <c r="A42" s="18">
        <f t="shared" si="4"/>
        <v>5.2999999999999989</v>
      </c>
      <c r="B42" s="1" t="s">
        <v>132</v>
      </c>
      <c r="C42" s="23">
        <f>'Financial Statements'!B27/'Financial Statements'!B65</f>
        <v>250.05725608721801</v>
      </c>
      <c r="D42" s="23">
        <f>'Financial Statements'!C27/'Financial Statements'!C65</f>
        <v>291.14045149481393</v>
      </c>
      <c r="E42" s="23">
        <f>'Financial Statements'!D27/'Financial Statements'!D65</f>
        <v>341.71840721558124</v>
      </c>
    </row>
    <row r="43" spans="1:17" x14ac:dyDescent="0.25">
      <c r="A43" s="18">
        <f t="shared" si="4"/>
        <v>5.3999999999999986</v>
      </c>
      <c r="B43" s="3" t="s">
        <v>133</v>
      </c>
      <c r="C43" s="29">
        <f>('Financial Statements'!B68/'Financial Statements'!B28)/1000</f>
        <v>3.1037952827971451E-6</v>
      </c>
      <c r="D43" s="29">
        <f>('Financial Statements'!C68/'Financial Statements'!C28)/1000</f>
        <v>3.740901453484597E-6</v>
      </c>
      <c r="E43" s="29">
        <f>('Financial Statements'!D68/'Financial Statements'!D28)/1000</f>
        <v>3.7276473233382477E-6</v>
      </c>
      <c r="F43" s="28" t="s">
        <v>182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</row>
    <row r="44" spans="1:17" x14ac:dyDescent="0.25">
      <c r="A44" s="18">
        <f t="shared" si="4"/>
        <v>5.4999999999999982</v>
      </c>
      <c r="B44" s="1" t="s">
        <v>134</v>
      </c>
      <c r="C44" s="23">
        <f>-'Financial Statements'!B102/'Financial Statements'!B22</f>
        <v>0.14870294480125848</v>
      </c>
      <c r="D44" s="23">
        <f>-'Financial Statements'!C102/'Financial Statements'!C22</f>
        <v>0.15279890156316012</v>
      </c>
      <c r="E44" s="23">
        <f>-'Financial Statements'!D102/'Financial Statements'!D22</f>
        <v>0.24526658654264863</v>
      </c>
      <c r="F44" s="28" t="s">
        <v>183</v>
      </c>
      <c r="G44" s="28"/>
      <c r="H44" s="28"/>
    </row>
    <row r="45" spans="1:17" x14ac:dyDescent="0.25">
      <c r="A45" s="18"/>
      <c r="B45" s="3" t="s">
        <v>135</v>
      </c>
      <c r="C45" s="23">
        <f>C41*C44</f>
        <v>0.90857499273568931</v>
      </c>
      <c r="D45" s="23">
        <f t="shared" ref="D45:E45" si="5">D41*D44</f>
        <v>0.85720183776932835</v>
      </c>
      <c r="E45" s="23">
        <f t="shared" si="5"/>
        <v>0.80447440385988744</v>
      </c>
    </row>
    <row r="46" spans="1:17" x14ac:dyDescent="0.25">
      <c r="A46" s="18">
        <f>+A44+0.1</f>
        <v>5.5999999999999979</v>
      </c>
      <c r="B46" s="1" t="s">
        <v>136</v>
      </c>
      <c r="C46" s="30">
        <f>C45/'Financial Statements'!B29</f>
        <v>5.7519308225860294E-3</v>
      </c>
      <c r="D46" s="30">
        <f>D45/'Financial Statements'!C29</f>
        <v>5.6206270917928559E-3</v>
      </c>
      <c r="E46" s="30">
        <f>E45/'Financial Statements'!D29</f>
        <v>5.9954866884773242E-3</v>
      </c>
      <c r="F46" s="28" t="s">
        <v>184</v>
      </c>
    </row>
    <row r="47" spans="1:17" x14ac:dyDescent="0.25">
      <c r="A47" s="18">
        <f t="shared" ref="A47:A50" si="6">+A45+0.1</f>
        <v>0.1</v>
      </c>
      <c r="B47" s="1" t="s">
        <v>137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  <c r="F47" s="28" t="s">
        <v>185</v>
      </c>
    </row>
    <row r="48" spans="1:17" x14ac:dyDescent="0.25">
      <c r="A48" s="18">
        <f t="shared" si="6"/>
        <v>5.6999999999999975</v>
      </c>
      <c r="B48" s="1" t="s">
        <v>138</v>
      </c>
      <c r="C48" s="23">
        <f>('Financial Statements'!B18/('Financial Statements'!B68-'Financial Statements'!B55))</f>
        <v>3.0203570706048959</v>
      </c>
      <c r="D48" s="23">
        <f>('Financial Statements'!C18/('Financial Statements'!C68-'Financial Statements'!C55))</f>
        <v>2.0373057576154237</v>
      </c>
      <c r="E48" s="23">
        <f>('Financial Statements'!D18/('Financial Statements'!D68-'Financial Statements'!D55))</f>
        <v>1.1718700279319734</v>
      </c>
      <c r="F48" s="28" t="s">
        <v>186</v>
      </c>
      <c r="G48" s="28"/>
      <c r="H48" s="28"/>
      <c r="I48" s="28"/>
      <c r="J48" s="28"/>
      <c r="K48" s="28"/>
      <c r="L48" s="28"/>
    </row>
    <row r="49" spans="1:18" x14ac:dyDescent="0.25">
      <c r="A49" s="18">
        <f t="shared" si="6"/>
        <v>0.2</v>
      </c>
      <c r="B49" s="1" t="s">
        <v>128</v>
      </c>
      <c r="C49" s="23">
        <f>'Financial Statements'!B22/'Financial Statements'!B48*100</f>
        <v>28.292440929256852</v>
      </c>
      <c r="D49" s="23">
        <f>'Financial Statements'!C22/'Financial Statements'!C48*100</f>
        <v>26.974205275183614</v>
      </c>
      <c r="E49" s="23">
        <f>'Financial Statements'!D22/'Financial Statements'!D48*100</f>
        <v>17.725571802598431</v>
      </c>
    </row>
    <row r="50" spans="1:18" x14ac:dyDescent="0.25">
      <c r="A50" s="18">
        <f t="shared" si="6"/>
        <v>5.7999999999999972</v>
      </c>
      <c r="B50" s="1" t="s">
        <v>139</v>
      </c>
      <c r="C50" s="23">
        <f>C51/'Financial Statements'!B13</f>
        <v>151.43425942078207</v>
      </c>
      <c r="D50" s="23">
        <f>D51/'Financial Statements'!C13</f>
        <v>168.7682546448481</v>
      </c>
      <c r="E50" s="23">
        <f>E51/'Financial Statements'!D13</f>
        <v>224.64876276916041</v>
      </c>
    </row>
    <row r="51" spans="1:18" x14ac:dyDescent="0.25">
      <c r="A51" s="18"/>
      <c r="B51" s="3" t="s">
        <v>140</v>
      </c>
      <c r="C51" s="12">
        <f>(('Financial Statements'!B28*'Financial Statements'!B29)/100)+'Financial Statements'!B59-'Financial Statements'!B110</f>
        <v>25862245.692400001</v>
      </c>
      <c r="D51" s="12">
        <f>(('Financial Statements'!C28*'Financial Statements'!C29)/100)+'Financial Statements'!C59-'Financial Statements'!C110</f>
        <v>25793864.966900002</v>
      </c>
      <c r="E51" s="12">
        <f>(('Financial Statements'!D28*'Financial Statements'!D29)/100)+'Financial Statements'!D59-'Financial Statements'!D110</f>
        <v>23578235.545200001</v>
      </c>
      <c r="F51" s="28" t="s">
        <v>187</v>
      </c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3" spans="1:18" x14ac:dyDescent="0.25">
      <c r="A53">
        <v>6</v>
      </c>
      <c r="B53" s="7" t="s">
        <v>152</v>
      </c>
    </row>
    <row r="54" spans="1:18" x14ac:dyDescent="0.25">
      <c r="A54">
        <v>6.1</v>
      </c>
      <c r="B54" t="s">
        <v>153</v>
      </c>
      <c r="C54" s="31">
        <f>'Financial Statements'!B6/'Financial Statements'!B$8</f>
        <v>0.80186798807084458</v>
      </c>
      <c r="D54" s="31">
        <f>'Financial Statements'!C6/'Financial Statements'!C$8</f>
        <v>0.81295292454970658</v>
      </c>
      <c r="E54" s="31">
        <f>'Financial Statements'!D6/'Financial Statements'!D$8</f>
        <v>0.80413456459574162</v>
      </c>
      <c r="F54" s="28" t="s">
        <v>188</v>
      </c>
      <c r="G54" s="28"/>
      <c r="H54" s="28"/>
      <c r="I54" s="28"/>
    </row>
    <row r="55" spans="1:18" x14ac:dyDescent="0.25">
      <c r="A55">
        <v>6.2</v>
      </c>
      <c r="B55" t="s">
        <v>154</v>
      </c>
      <c r="C55" s="31">
        <f>'Financial Statements'!B7/'Financial Statements'!B$8</f>
        <v>0.19813201192915542</v>
      </c>
      <c r="D55" s="31">
        <f>'Financial Statements'!C7/'Financial Statements'!C$8</f>
        <v>0.18704707545029345</v>
      </c>
      <c r="E55" s="31">
        <f>'Financial Statements'!D7/'Financial Statements'!D$8</f>
        <v>0.19586543540425841</v>
      </c>
      <c r="F55" s="28" t="s">
        <v>189</v>
      </c>
      <c r="G55" s="28"/>
      <c r="H55" s="28"/>
      <c r="I55" s="28"/>
    </row>
    <row r="56" spans="1:18" x14ac:dyDescent="0.25">
      <c r="A56">
        <v>6.3</v>
      </c>
      <c r="C56" s="31"/>
      <c r="D56" s="31"/>
      <c r="E56" s="31"/>
      <c r="F56" s="28" t="s">
        <v>190</v>
      </c>
    </row>
    <row r="57" spans="1:18" x14ac:dyDescent="0.25">
      <c r="A57">
        <v>6.4</v>
      </c>
      <c r="B57" t="s">
        <v>156</v>
      </c>
      <c r="C57" s="31">
        <f>('Financial Statements'!B13)/('Financial Statements'!B$8)</f>
        <v>0.43309630561360085</v>
      </c>
      <c r="D57" s="31">
        <f>('Financial Statements'!C13)/('Financial Statements'!C$8)</f>
        <v>0.41779359625167778</v>
      </c>
      <c r="E57" s="31">
        <f>('Financial Statements'!D13)/('Financial Statements'!D$8)</f>
        <v>0.38233247727810865</v>
      </c>
    </row>
    <row r="58" spans="1:18" x14ac:dyDescent="0.25">
      <c r="A58">
        <v>6.5</v>
      </c>
      <c r="B58" t="s">
        <v>157</v>
      </c>
      <c r="C58" s="31">
        <f>'Financial Statements'!B15/'Financial Statements'!B$8</f>
        <v>6.657148363798665E-2</v>
      </c>
      <c r="D58" s="31">
        <f>'Financial Statements'!C15/'Financial Statements'!C$8</f>
        <v>5.9904269074427925E-2</v>
      </c>
      <c r="E58" s="31">
        <f>'Financial Statements'!D15/'Financial Statements'!D$8</f>
        <v>6.8309564140393061E-2</v>
      </c>
    </row>
    <row r="59" spans="1:18" x14ac:dyDescent="0.25">
      <c r="A59">
        <v>6.6</v>
      </c>
      <c r="B59" t="s">
        <v>158</v>
      </c>
      <c r="C59" s="31">
        <f>'Financial Statements'!B16/'Financial Statements'!B$8</f>
        <v>6.3637378020328261E-2</v>
      </c>
      <c r="D59" s="31">
        <f>'Financial Statements'!C16/'Financial Statements'!C$8</f>
        <v>6.006555190163388E-2</v>
      </c>
      <c r="E59" s="31">
        <f>'Financial Statements'!D16/'Financial Statements'!D$8</f>
        <v>7.2549769593646979E-2</v>
      </c>
    </row>
    <row r="60" spans="1:18" x14ac:dyDescent="0.25">
      <c r="A60">
        <v>6.7</v>
      </c>
      <c r="B60" t="s">
        <v>159</v>
      </c>
      <c r="C60" s="31">
        <f>'Financial Statements'!B18/'Financial Statements'!B$8</f>
        <v>0.30288744395528594</v>
      </c>
      <c r="D60" s="31">
        <f>'Financial Statements'!C18/'Financial Statements'!C$8</f>
        <v>0.29782377527561593</v>
      </c>
      <c r="E60" s="31">
        <f>'Financial Statements'!D18/'Financial Statements'!D$8</f>
        <v>0.24147314354406862</v>
      </c>
    </row>
    <row r="61" spans="1:18" x14ac:dyDescent="0.25">
      <c r="A61">
        <v>6.8</v>
      </c>
      <c r="B61" t="s">
        <v>160</v>
      </c>
      <c r="C61" s="31">
        <f>'Financial Statements'!B22/'Financial Statements'!B$8</f>
        <v>0.25309640705199732</v>
      </c>
      <c r="D61" s="31">
        <f>'Financial Statements'!C22/'Financial Statements'!C$8</f>
        <v>0.25881793355694238</v>
      </c>
      <c r="E61" s="31">
        <f>'Financial Statements'!D22/'Financial Statements'!D$8</f>
        <v>0.20913611278072236</v>
      </c>
    </row>
    <row r="62" spans="1:18" x14ac:dyDescent="0.25">
      <c r="C62" s="23"/>
      <c r="D62" s="23"/>
      <c r="E62" s="23"/>
    </row>
    <row r="63" spans="1:18" x14ac:dyDescent="0.25">
      <c r="A63">
        <v>7</v>
      </c>
      <c r="B63" t="s">
        <v>161</v>
      </c>
      <c r="C63" s="24">
        <f>'Financial Statements'!B21/'Financial Statements'!B20</f>
        <v>0.16204461684424407</v>
      </c>
      <c r="D63" s="24">
        <f>'Financial Statements'!C21/'Financial Statements'!C20</f>
        <v>0.13302260844085087</v>
      </c>
      <c r="E63" s="24">
        <f>'Financial Statements'!D21/'Financial Statements'!D20</f>
        <v>0.14428164731484103</v>
      </c>
    </row>
    <row r="64" spans="1:18" x14ac:dyDescent="0.25">
      <c r="A64">
        <v>8</v>
      </c>
      <c r="B64" t="s">
        <v>162</v>
      </c>
      <c r="C64" s="32">
        <f>ABS('Financial Statements'!B96)/'Financial Statements'!B$8</f>
        <v>2.7155058732831552E-2</v>
      </c>
      <c r="D64" s="32">
        <f>ABS('Financial Statements'!C96)/'Financial Statements'!C$8</f>
        <v>3.0302036264033657E-2</v>
      </c>
      <c r="E64" s="32">
        <f>ABS('Financial Statements'!D96)/'Financial Statements'!D$8</f>
        <v>2.6625138881299748E-2</v>
      </c>
      <c r="F64" s="28" t="s">
        <v>191</v>
      </c>
      <c r="G64" s="28"/>
      <c r="H64" s="28"/>
      <c r="I64" s="28"/>
    </row>
    <row r="65" spans="1:9" x14ac:dyDescent="0.25">
      <c r="A65">
        <v>9</v>
      </c>
      <c r="B65" t="s">
        <v>163</v>
      </c>
      <c r="C65" s="24">
        <f>ABS('Financial Statements'!B96)/'Financial Statements'!B$45</f>
        <v>0.25424412944891611</v>
      </c>
      <c r="D65" s="24">
        <f>ABS('Financial Statements'!C96)/'Financial Statements'!C$45</f>
        <v>0.28105983772819471</v>
      </c>
      <c r="E65" s="24">
        <f>ABS('Financial Statements'!D96)/'Financial Statements'!D$45</f>
        <v>0.19879780231735844</v>
      </c>
      <c r="F65" s="28" t="s">
        <v>192</v>
      </c>
      <c r="G65" s="28"/>
      <c r="H65" s="28"/>
      <c r="I65" s="28"/>
    </row>
    <row r="67" spans="1:9" x14ac:dyDescent="0.25">
      <c r="A67">
        <v>10</v>
      </c>
      <c r="B67" s="7" t="s">
        <v>167</v>
      </c>
    </row>
    <row r="68" spans="1:9" x14ac:dyDescent="0.25">
      <c r="A68">
        <v>10.1</v>
      </c>
      <c r="B68" t="s">
        <v>153</v>
      </c>
      <c r="C68" s="23">
        <f>100*('Financial Statements'!B6-'Financial Statements'!C6)/'Financial Statements'!C6</f>
        <v>6.3239764351428418</v>
      </c>
      <c r="D68" s="23">
        <f>100*('Financial Statements'!C6-'Financial Statements'!D6)/'Financial Statements'!D6</f>
        <v>34.720743656765436</v>
      </c>
      <c r="E68" t="s">
        <v>168</v>
      </c>
    </row>
    <row r="69" spans="1:9" x14ac:dyDescent="0.25">
      <c r="A69">
        <v>10.199999999999999</v>
      </c>
      <c r="B69" t="s">
        <v>154</v>
      </c>
      <c r="C69" s="23">
        <f>100*('Financial Statements'!B7-'Financial Statements'!C7)/'Financial Statements'!C7</f>
        <v>14.18195104128608</v>
      </c>
      <c r="D69" s="23">
        <f>100*('Financial Statements'!C7-'Financial Statements'!D7)/'Financial Statements'!D7</f>
        <v>27.259708376729652</v>
      </c>
      <c r="E69" t="s">
        <v>168</v>
      </c>
    </row>
    <row r="70" spans="1:9" x14ac:dyDescent="0.25">
      <c r="A70">
        <v>10.3</v>
      </c>
      <c r="B70" t="s">
        <v>155</v>
      </c>
      <c r="C70" s="23">
        <f>100*('Financial Statements'!B8-'Financial Statements'!C8)/'Financial Statements'!C8</f>
        <v>7.7937876041846064</v>
      </c>
      <c r="D70" s="23">
        <f>100*('Financial Statements'!C8-'Financial Statements'!D8)/'Financial Statements'!D8</f>
        <v>33.259384733074697</v>
      </c>
      <c r="E70" t="s">
        <v>168</v>
      </c>
    </row>
    <row r="71" spans="1:9" x14ac:dyDescent="0.25">
      <c r="A71">
        <v>10.4</v>
      </c>
      <c r="B71" t="s">
        <v>156</v>
      </c>
      <c r="C71" s="23">
        <f>100*('Financial Statements'!B13-'Financial Statements'!C13)/'Financial Statements'!C13</f>
        <v>11.741997958596142</v>
      </c>
      <c r="D71" s="23">
        <f>100*('Financial Statements'!C13-'Financial Statements'!D13)/'Financial Statements'!D13</f>
        <v>45.61911658218682</v>
      </c>
      <c r="E71" t="s">
        <v>168</v>
      </c>
    </row>
    <row r="72" spans="1:9" x14ac:dyDescent="0.25">
      <c r="A72">
        <v>10.5</v>
      </c>
      <c r="B72" t="s">
        <v>157</v>
      </c>
      <c r="C72" s="23">
        <f>100*('Financial Statements'!B15-'Financial Statements'!C15)/'Financial Statements'!C15</f>
        <v>19.791001186456146</v>
      </c>
      <c r="D72" s="23">
        <f>100*('Financial Statements'!C15-'Financial Statements'!D15)/'Financial Statements'!D15</f>
        <v>16.862201365187712</v>
      </c>
      <c r="E72" t="s">
        <v>168</v>
      </c>
    </row>
    <row r="73" spans="1:9" x14ac:dyDescent="0.25">
      <c r="A73">
        <v>10.6</v>
      </c>
      <c r="B73" t="s">
        <v>158</v>
      </c>
      <c r="C73" s="23">
        <f>100*('Financial Statements'!B16-'Financial Statements'!C16)/'Financial Statements'!C16</f>
        <v>14.203795567287125</v>
      </c>
      <c r="D73" s="23">
        <f>100*('Financial Statements'!C16-'Financial Statements'!D16)/'Financial Statements'!D16</f>
        <v>10.328379192608958</v>
      </c>
      <c r="E73" t="s">
        <v>168</v>
      </c>
    </row>
    <row r="74" spans="1:9" x14ac:dyDescent="0.25">
      <c r="A74">
        <v>10.7</v>
      </c>
      <c r="B74" t="s">
        <v>164</v>
      </c>
      <c r="C74" s="23">
        <f>100*('Financial Statements'!B48-'Financial Statements'!C48)/'Financial Statements'!C48</f>
        <v>0.49942735369029234</v>
      </c>
      <c r="D74" s="23">
        <f>100*('Financial Statements'!C48-'Financial Statements'!D48)/'Financial Statements'!D48</f>
        <v>8.3714123400681721</v>
      </c>
      <c r="E74" t="s">
        <v>168</v>
      </c>
    </row>
    <row r="75" spans="1:9" x14ac:dyDescent="0.25">
      <c r="A75">
        <v>10.8</v>
      </c>
      <c r="B75" t="s">
        <v>165</v>
      </c>
      <c r="C75" s="23">
        <f>100*('Financial Statements'!B62-'Financial Statements'!C62)/'Financial Statements'!C62</f>
        <v>4.9219900525160467</v>
      </c>
      <c r="D75" s="23">
        <f>100*('Financial Statements'!C62-'Financial Statements'!D62)/'Financial Statements'!D62</f>
        <v>11.356841449783213</v>
      </c>
      <c r="E75" t="s">
        <v>168</v>
      </c>
    </row>
    <row r="76" spans="1:9" x14ac:dyDescent="0.25">
      <c r="A76">
        <v>10.9</v>
      </c>
      <c r="B76" t="s">
        <v>166</v>
      </c>
      <c r="C76" s="23">
        <f>100*('Financial Statements'!B68-'Financial Statements'!C68)/'Financial Statements'!C68</f>
        <v>-19.682992550324933</v>
      </c>
      <c r="D76" s="23">
        <f>100*('Financial Statements'!C68-'Financial Statements'!D68)/'Financial Statements'!D68</f>
        <v>-3.4420483937617656</v>
      </c>
      <c r="E76" t="s">
        <v>168</v>
      </c>
    </row>
  </sheetData>
  <mergeCells count="1">
    <mergeCell ref="C2: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Sidharth Nambiath</cp:lastModifiedBy>
  <dcterms:created xsi:type="dcterms:W3CDTF">2020-05-18T16:32:37Z</dcterms:created>
  <dcterms:modified xsi:type="dcterms:W3CDTF">2023-08-14T20:32:55Z</dcterms:modified>
</cp:coreProperties>
</file>