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idharth/Downloads/"/>
    </mc:Choice>
  </mc:AlternateContent>
  <xr:revisionPtr revIDLastSave="0" documentId="13_ncr:1_{B72A3DC2-CBB2-644F-9977-A242C30D79C6}" xr6:coauthVersionLast="46" xr6:coauthVersionMax="46" xr10:uidLastSave="{00000000-0000-0000-0000-000000000000}"/>
  <bookViews>
    <workbookView xWindow="500" yWindow="780" windowWidth="27380" windowHeight="16000" activeTab="2" xr2:uid="{00000000-000D-0000-FFFF-FFFF00000000}"/>
  </bookViews>
  <sheets>
    <sheet name="Instructions" sheetId="1" r:id="rId1"/>
    <sheet name="Financial Statements" sheetId="2" r:id="rId2"/>
    <sheet name="List of Ratios" sheetId="3" r:id="rId3"/>
    <sheet name="Chart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3" l="1"/>
  <c r="E31" i="3"/>
  <c r="C31" i="3"/>
  <c r="D11" i="3"/>
  <c r="E11" i="3"/>
  <c r="C11" i="3"/>
  <c r="D10" i="3"/>
  <c r="E10" i="3"/>
  <c r="C10" i="3"/>
  <c r="D8" i="3"/>
  <c r="E8" i="3"/>
  <c r="C8" i="3"/>
  <c r="D51" i="3"/>
  <c r="E51" i="3"/>
  <c r="C51" i="3"/>
  <c r="D43" i="3"/>
  <c r="E43" i="3"/>
  <c r="C43" i="3"/>
  <c r="D36" i="3"/>
  <c r="E36" i="3"/>
  <c r="C36" i="3"/>
  <c r="D22" i="3"/>
  <c r="E22" i="3"/>
  <c r="C22" i="3"/>
  <c r="D20" i="3"/>
  <c r="E20" i="3"/>
  <c r="C20" i="3"/>
  <c r="D18" i="3"/>
  <c r="E18" i="3"/>
  <c r="C18" i="3"/>
  <c r="C17" i="3"/>
  <c r="D17" i="3"/>
  <c r="E17" i="3"/>
  <c r="D72" i="3"/>
  <c r="D69" i="3"/>
  <c r="D68" i="3"/>
  <c r="C72" i="3"/>
  <c r="C69" i="3"/>
  <c r="C68" i="3"/>
  <c r="C9" i="3"/>
  <c r="D9" i="3"/>
  <c r="E9" i="3"/>
  <c r="D40" i="3"/>
  <c r="C41" i="3"/>
  <c r="C40" i="3" s="1"/>
  <c r="D41" i="3"/>
  <c r="E41" i="3"/>
  <c r="E40" i="3" s="1"/>
  <c r="C42" i="3"/>
  <c r="D42" i="3"/>
  <c r="E42" i="3"/>
  <c r="C44" i="3"/>
  <c r="D44" i="3"/>
  <c r="D45" i="3" s="1"/>
  <c r="D46" i="3" s="1"/>
  <c r="E44" i="3"/>
  <c r="C63" i="3"/>
  <c r="D63" i="3"/>
  <c r="E63" i="3"/>
  <c r="C65" i="3"/>
  <c r="D65" i="3"/>
  <c r="E65" i="3"/>
  <c r="E45" i="3" l="1"/>
  <c r="E46" i="3" s="1"/>
  <c r="C45" i="3"/>
  <c r="C46" i="3" s="1"/>
  <c r="D68" i="2"/>
  <c r="D67" i="2"/>
  <c r="C67" i="2"/>
  <c r="B67" i="2"/>
  <c r="B68" i="2" s="1"/>
  <c r="C68" i="2"/>
  <c r="C61" i="2"/>
  <c r="B60" i="2"/>
  <c r="B61" i="2" s="1"/>
  <c r="B62" i="2" s="1"/>
  <c r="C75" i="3" s="1"/>
  <c r="D60" i="2"/>
  <c r="D61" i="2" s="1"/>
  <c r="C60" i="2"/>
  <c r="C56" i="2"/>
  <c r="C62" i="2" s="1"/>
  <c r="D56" i="2"/>
  <c r="D62" i="2" s="1"/>
  <c r="B56" i="2"/>
  <c r="D107" i="2"/>
  <c r="C107" i="2"/>
  <c r="B107" i="2"/>
  <c r="B108" i="2"/>
  <c r="D106" i="2"/>
  <c r="D108" i="2" s="1"/>
  <c r="C106" i="2"/>
  <c r="C108" i="2" s="1"/>
  <c r="B106" i="2"/>
  <c r="C99" i="2"/>
  <c r="D99" i="2"/>
  <c r="B99" i="2"/>
  <c r="C91" i="2"/>
  <c r="D30" i="3" s="1"/>
  <c r="D91" i="2"/>
  <c r="E30" i="3" s="1"/>
  <c r="B91" i="2"/>
  <c r="C30" i="3" s="1"/>
  <c r="B47" i="2"/>
  <c r="D46" i="2"/>
  <c r="D47" i="2" s="1"/>
  <c r="C46" i="2"/>
  <c r="C47" i="2" s="1"/>
  <c r="B46" i="2"/>
  <c r="C42" i="2"/>
  <c r="D42" i="2"/>
  <c r="D48" i="2" s="1"/>
  <c r="B42" i="2"/>
  <c r="D16" i="2"/>
  <c r="D8" i="2"/>
  <c r="D13" i="2" s="1"/>
  <c r="B16" i="2"/>
  <c r="B8" i="2"/>
  <c r="C8" i="2"/>
  <c r="C13" i="2" s="1"/>
  <c r="C16" i="2"/>
  <c r="E57" i="3" l="1"/>
  <c r="E26" i="3"/>
  <c r="E37" i="3"/>
  <c r="E49" i="3"/>
  <c r="D75" i="3"/>
  <c r="D71" i="3"/>
  <c r="D57" i="3"/>
  <c r="C110" i="2"/>
  <c r="D50" i="3" s="1"/>
  <c r="D73" i="3"/>
  <c r="D59" i="3"/>
  <c r="C17" i="2"/>
  <c r="C18" i="2" s="1"/>
  <c r="D14" i="3"/>
  <c r="D13" i="3" s="1"/>
  <c r="D5" i="3"/>
  <c r="D12" i="3" s="1"/>
  <c r="D110" i="2"/>
  <c r="E50" i="3" s="1"/>
  <c r="C70" i="3"/>
  <c r="C58" i="3"/>
  <c r="C61" i="3"/>
  <c r="C35" i="3"/>
  <c r="C55" i="3"/>
  <c r="C54" i="3"/>
  <c r="C64" i="3"/>
  <c r="C14" i="3"/>
  <c r="C13" i="3" s="1"/>
  <c r="C5" i="3"/>
  <c r="C12" i="3" s="1"/>
  <c r="E7" i="3"/>
  <c r="E6" i="3"/>
  <c r="C73" i="3"/>
  <c r="B17" i="2"/>
  <c r="C59" i="3"/>
  <c r="E5" i="3"/>
  <c r="E12" i="3" s="1"/>
  <c r="E14" i="3"/>
  <c r="E13" i="3" s="1"/>
  <c r="B48" i="2"/>
  <c r="D7" i="3"/>
  <c r="D6" i="3"/>
  <c r="E35" i="3"/>
  <c r="E55" i="3"/>
  <c r="E34" i="3"/>
  <c r="E54" i="3"/>
  <c r="E64" i="3"/>
  <c r="E58" i="3"/>
  <c r="E61" i="3"/>
  <c r="D54" i="3"/>
  <c r="D64" i="3"/>
  <c r="D58" i="3"/>
  <c r="D61" i="3"/>
  <c r="D70" i="3"/>
  <c r="D35" i="3"/>
  <c r="D55" i="3"/>
  <c r="E59" i="3"/>
  <c r="D17" i="2"/>
  <c r="D18" i="2" s="1"/>
  <c r="C48" i="2"/>
  <c r="D34" i="3" s="1"/>
  <c r="C7" i="3"/>
  <c r="C6" i="3"/>
  <c r="D47" i="3"/>
  <c r="D76" i="3"/>
  <c r="D25" i="3"/>
  <c r="D27" i="3"/>
  <c r="E27" i="3"/>
  <c r="E47" i="3"/>
  <c r="E25" i="3"/>
  <c r="C25" i="3"/>
  <c r="C76" i="3"/>
  <c r="C27" i="3"/>
  <c r="C47" i="3"/>
  <c r="B13" i="2"/>
  <c r="B110" i="2"/>
  <c r="E19" i="3" l="1"/>
  <c r="E21" i="3"/>
  <c r="E48" i="3"/>
  <c r="E60" i="3"/>
  <c r="E29" i="3"/>
  <c r="D29" i="3"/>
  <c r="D19" i="3"/>
  <c r="D21" i="3"/>
  <c r="D48" i="3"/>
  <c r="D60" i="3"/>
  <c r="C50" i="3"/>
  <c r="C74" i="3"/>
  <c r="C37" i="3"/>
  <c r="C49" i="3"/>
  <c r="C26" i="3"/>
  <c r="C57" i="3"/>
  <c r="B18" i="2"/>
  <c r="C71" i="3"/>
  <c r="D26" i="3"/>
  <c r="D37" i="3"/>
  <c r="D49" i="3"/>
  <c r="D74" i="3"/>
  <c r="C34" i="3"/>
  <c r="A47" i="3"/>
  <c r="A49" i="3" s="1"/>
  <c r="A16" i="3"/>
  <c r="A24" i="3" s="1"/>
  <c r="A5" i="3"/>
  <c r="A6" i="3" s="1"/>
  <c r="A7" i="3" s="1"/>
  <c r="A8" i="3" s="1"/>
  <c r="A9" i="3" s="1"/>
  <c r="A10" i="3" s="1"/>
  <c r="A11" i="3" s="1"/>
  <c r="A12" i="3" s="1"/>
  <c r="A13" i="3" s="1"/>
  <c r="D28" i="3" l="1"/>
  <c r="C29" i="3"/>
  <c r="C28" i="3"/>
  <c r="C19" i="3"/>
  <c r="C21" i="3"/>
  <c r="C48" i="3"/>
  <c r="C60" i="3"/>
  <c r="E28" i="3"/>
  <c r="A33" i="3"/>
  <c r="A25" i="3"/>
  <c r="A26" i="3" s="1"/>
  <c r="A27" i="3" s="1"/>
  <c r="A28" i="3" s="1"/>
  <c r="A29" i="3" s="1"/>
  <c r="A30" i="3" s="1"/>
  <c r="A17" i="3"/>
  <c r="A18" i="3" s="1"/>
  <c r="A20" i="3" s="1"/>
  <c r="A22" i="3" s="1"/>
  <c r="A34" i="3" l="1"/>
  <c r="A35" i="3" s="1"/>
  <c r="A36" i="3" s="1"/>
  <c r="A37" i="3" s="1"/>
  <c r="A39" i="3"/>
  <c r="A40" i="3" s="1"/>
  <c r="A41" i="3" s="1"/>
  <c r="A42" i="3" s="1"/>
  <c r="A43" i="3" s="1"/>
  <c r="A44" i="3" s="1"/>
  <c r="A46" i="3" s="1"/>
  <c r="A48" i="3" s="1"/>
  <c r="A50" i="3" s="1"/>
</calcChain>
</file>

<file path=xl/sharedStrings.xml><?xml version="1.0" encoding="utf-8"?>
<sst xmlns="http://schemas.openxmlformats.org/spreadsheetml/2006/main" count="204" uniqueCount="171">
  <si>
    <t>Instructions</t>
  </si>
  <si>
    <t>https://ir.aboutamazon.com/annual-reports-proxies-and-shareholder-letters/default.aspx</t>
  </si>
  <si>
    <t>You are required write up a 1-2 page report commenting on the financial health of Amazon Inc. based on the ratios you have calculated, addressing the five key topics mentioned in the ratios tab.</t>
  </si>
  <si>
    <t>Formats:</t>
  </si>
  <si>
    <t>However make sure you have covered the five key topics in the ratio analysis</t>
  </si>
  <si>
    <t>Please refer to the below website in order to download the company financial statements:</t>
  </si>
  <si>
    <t>You are free to use any additional publicly available information/ news articles whilst mentioning the sources at the end page</t>
  </si>
  <si>
    <t>The report should be submitted as a word document</t>
  </si>
  <si>
    <t>The supporting calculations should be submitted in excel document as same as the previous task.</t>
  </si>
  <si>
    <t>(In millions, except number of shares which are reflected in thousands and per share amounts)</t>
  </si>
  <si>
    <t>CONSOLIDATED STATEMENTS OF OPERATIONS</t>
  </si>
  <si>
    <t>Gross margin</t>
  </si>
  <si>
    <t>CONSOLIDATED BALANCE SHEETS</t>
  </si>
  <si>
    <t>CONSOLIDATED STATEMENTS OF CASH FLOWS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</si>
  <si>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</si>
  <si>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</si>
  <si>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</si>
  <si>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</si>
  <si>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</si>
  <si>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</si>
  <si>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</si>
  <si>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</si>
  <si>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</si>
  <si>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</si>
  <si>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</si>
  <si>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</si>
  <si>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</si>
  <si>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</si>
  <si>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</si>
  <si>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</si>
  <si>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</si>
  <si>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</si>
  <si>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</si>
  <si>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</si>
  <si>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</si>
  <si>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</si>
  <si>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</si>
  <si>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</si>
  <si>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</si>
  <si>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</si>
  <si>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</si>
  <si>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</si>
  <si>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</si>
  <si>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</si>
  <si>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</si>
  <si>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</si>
  <si>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</si>
  <si>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</si>
  <si>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</si>
  <si>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</si>
  <si>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</si>
  <si>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</si>
  <si>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</si>
  <si>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</si>
  <si>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</si>
  <si>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</si>
  <si>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Company name</t>
  </si>
  <si>
    <t xml:space="preserve">Years ended </t>
  </si>
  <si>
    <t xml:space="preserve">As at </t>
  </si>
  <si>
    <t>Company Name</t>
  </si>
  <si>
    <t>Years ended ,</t>
  </si>
  <si>
    <t>Please input the three financial statements in the format from previous task, attached here in the second tab</t>
  </si>
  <si>
    <t>Perform the calculations on tab three similar to previous task.</t>
  </si>
  <si>
    <t>Perform a management report, analyzing the financial health of Amazon Inc. based on its recent two annual reports (2022 &amp; 2021).</t>
  </si>
  <si>
    <t>Net sales:</t>
  </si>
  <si>
    <t>Products</t>
  </si>
  <si>
    <t>Services</t>
  </si>
  <si>
    <t>Total net sales</t>
  </si>
  <si>
    <t>Cost of sales:</t>
  </si>
  <si>
    <t>Total cost of sales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</si>
  <si>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</si>
  <si>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</si>
  <si>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</si>
  <si>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</si>
  <si>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</si>
  <si>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</si>
  <si>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</si>
  <si>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</si>
  <si>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</si>
  <si>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</si>
  <si>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</si>
  <si>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</si>
  <si>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</si>
  <si>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Share Price ($) - Yahoo! Finance</t>
  </si>
  <si>
    <t>Current assets:</t>
  </si>
  <si>
    <t>Cash and cash equivalents</t>
  </si>
  <si>
    <t>Marketable securities</t>
  </si>
  <si>
    <t>Accounts receivable, net</t>
  </si>
  <si>
    <t>Inventories</t>
  </si>
  <si>
    <t>Vendor non trade receivables</t>
  </si>
  <si>
    <t>Other current assets</t>
  </si>
  <si>
    <t>Total current assets</t>
  </si>
  <si>
    <t>Non current assets:</t>
  </si>
  <si>
    <t>Property, plant and equipment, net</t>
  </si>
  <si>
    <t>Other non current assets</t>
  </si>
  <si>
    <t>Total non current assets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</si>
  <si>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</si>
  <si>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</si>
  <si>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</si>
  <si>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</si>
  <si>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</si>
  <si>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</si>
  <si>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</si>
  <si>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</si>
  <si>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Non current liabilities:</t>
  </si>
  <si>
    <t>Other non current liabilities</t>
  </si>
  <si>
    <t>Total non current liabilities</t>
  </si>
  <si>
    <t>Total liabilities</t>
  </si>
  <si>
    <t>Shareholders’ equity:</t>
  </si>
  <si>
    <t>Common stock and additional paid in capital, $0.00001 par value: 12,600,000 shares authorized; 4,443,236 and 4,754,986 shares issued and outstanding, respectively</t>
  </si>
  <si>
    <t>Retained earnings</t>
  </si>
  <si>
    <t>Accumulated other comprehensive income/(loss)</t>
  </si>
  <si>
    <t>Total shareholders’ equity</t>
  </si>
  <si>
    <t>Total liabilities and shareholders’ equity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</si>
  <si>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</si>
  <si>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</si>
  <si>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</si>
  <si>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</si>
  <si>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Share based compensation expense</t>
  </si>
  <si>
    <t>Deferred income tax expense/(benefit)</t>
  </si>
  <si>
    <t>Other</t>
  </si>
  <si>
    <t>Changes in operating assets and liabilities:</t>
  </si>
  <si>
    <t>Other current and non current assets</t>
  </si>
  <si>
    <t>Other current and non current liabilities</t>
  </si>
  <si>
    <t>Cash generated by operating activities</t>
  </si>
  <si>
    <t>Investing activities:</t>
  </si>
  <si>
    <t>Purchases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</si>
  <si>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</si>
  <si>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</si>
  <si>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</si>
  <si>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</si>
  <si>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taxes related to net share settlement of equity awards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</si>
  <si>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</si>
  <si>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</si>
  <si>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</si>
  <si>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</si>
  <si>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</si>
  <si>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</si>
  <si>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</si>
  <si>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</si>
  <si>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</si>
  <si>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</si>
  <si>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</si>
  <si>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Growth Margins</t>
  </si>
  <si>
    <t>Sales - Products</t>
  </si>
  <si>
    <t>Sales - Services</t>
  </si>
  <si>
    <t>Net Sales</t>
  </si>
  <si>
    <t>Gross Profit</t>
  </si>
  <si>
    <t>Research &amp; Development</t>
  </si>
  <si>
    <t>Selling,General, &amp; Administrative</t>
  </si>
  <si>
    <t>Operating Income</t>
  </si>
  <si>
    <t>Net Profit</t>
  </si>
  <si>
    <t>Income Tax Rate</t>
  </si>
  <si>
    <t>Capex as Percentage of Sales</t>
  </si>
  <si>
    <t>Capex as Percentage of Fixed Assets</t>
  </si>
  <si>
    <t>Growth Rates (%)</t>
  </si>
  <si>
    <t>N/A</t>
  </si>
  <si>
    <t>Total Assets</t>
  </si>
  <si>
    <t>Total Liabilities</t>
  </si>
  <si>
    <t>Total Shareholders' Equity</t>
  </si>
  <si>
    <t>Proceeds from maturities and sales of marketable securities</t>
  </si>
  <si>
    <t>Proceeds from property and equipment sales and incentives</t>
  </si>
  <si>
    <t>Remove the IF and Mode formulas. Defensive interval = Current Assets / Daily Operational Expenses where Daily Operational Expenses = Annual Operating Expenses - Noncash Charges i.e. Depreciation &amp; Amortization</t>
  </si>
  <si>
    <t>Remove the IF and Mode formulas.  Inventory / COGS x 365</t>
  </si>
  <si>
    <t>Remove the IF and Mode formulas. Accounts Receivable / Total Net Sales x 365</t>
  </si>
  <si>
    <t>Note that Capex is already negative, so if you link with - sign, it become positive</t>
  </si>
  <si>
    <t>Should be linked to total revenue</t>
  </si>
  <si>
    <t>Do not divide by 1000 for this company</t>
  </si>
  <si>
    <t>Do not divide by 100</t>
  </si>
  <si>
    <t>Feedback</t>
  </si>
  <si>
    <t>Remove multiplication by 100 and use the % formatting instead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</si>
</sst>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wrapText="1"/>
    </xf>
    <xf numFmtId="0" fontId="4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left" wrapText="1" indent="1"/>
    </xf>
    <xf numFmtId="0" fontId="5" fillId="0" borderId="0" xfId="2" applyAlignment="1">
      <alignment horizontal="left" wrapText="1" indent="1"/>
    </xf>
    <xf numFmtId="0" fontId="6" fillId="2" borderId="0" xfId="0" applyFont="1" applyFill="1" applyAlignment="1">
      <alignment vertical="center"/>
    </xf>
    <xf numFmtId="0" fontId="3" fillId="2" borderId="0" xfId="0" applyFont="1" applyFill="1"/>
    <xf numFmtId="0" fontId="2" fillId="0" borderId="0" xfId="0" applyFont="1"/>
    <xf numFmtId="164" fontId="0" fillId="0" borderId="0" xfId="1" applyNumberFormat="1" applyFont="1"/>
    <xf numFmtId="0" fontId="2" fillId="0" borderId="1" xfId="0" applyFont="1" applyBorder="1"/>
    <xf numFmtId="164" fontId="2" fillId="0" borderId="1" xfId="1" applyNumberFormat="1" applyFont="1" applyBorder="1"/>
    <xf numFmtId="0" fontId="2" fillId="0" borderId="2" xfId="0" applyFont="1" applyBorder="1"/>
    <xf numFmtId="164" fontId="2" fillId="0" borderId="2" xfId="1" applyNumberFormat="1" applyFont="1" applyBorder="1"/>
    <xf numFmtId="0" fontId="0" fillId="4" borderId="0" xfId="0" applyFill="1"/>
    <xf numFmtId="3" fontId="0" fillId="0" borderId="0" xfId="0" applyNumberFormat="1"/>
    <xf numFmtId="164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7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165" fontId="0" fillId="0" borderId="0" xfId="0" applyNumberFormat="1"/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left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3" fontId="2" fillId="0" borderId="0" xfId="0" applyNumberFormat="1" applyFont="1"/>
    <xf numFmtId="3" fontId="8" fillId="0" borderId="0" xfId="0" applyNumberFormat="1" applyFont="1" applyAlignment="1">
      <alignment vertical="center"/>
    </xf>
    <xf numFmtId="10" fontId="8" fillId="0" borderId="0" xfId="0" applyNumberFormat="1" applyFont="1" applyAlignment="1">
      <alignment vertical="center"/>
    </xf>
    <xf numFmtId="10" fontId="0" fillId="0" borderId="0" xfId="0" applyNumberFormat="1"/>
    <xf numFmtId="2" fontId="8" fillId="0" borderId="0" xfId="0" applyNumberFormat="1" applyFont="1" applyAlignment="1">
      <alignment vertical="center"/>
    </xf>
    <xf numFmtId="0" fontId="10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166" fontId="8" fillId="0" borderId="0" xfId="0" applyNumberFormat="1" applyFont="1" applyAlignment="1">
      <alignment vertical="center"/>
    </xf>
    <xf numFmtId="0" fontId="0" fillId="5" borderId="0" xfId="0" applyFill="1"/>
    <xf numFmtId="2" fontId="0" fillId="5" borderId="0" xfId="0" applyNumberFormat="1" applyFill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hartsheet" Target="chart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Liquidity Ratios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'List of Ratios'!$B$5</c:f>
              <c:strCache>
                <c:ptCount val="1"/>
                <c:pt idx="0">
                  <c:v>Current ratio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'List of Ratios'!$C$3:$E$3</c:f>
              <c:numCache>
                <c:formatCode>General</c:formatCode>
                <c:ptCount val="3"/>
                <c:pt idx="0">
                  <c:v>2022</c:v>
                </c:pt>
                <c:pt idx="1">
                  <c:v>2021</c:v>
                </c:pt>
                <c:pt idx="2">
                  <c:v>2020</c:v>
                </c:pt>
              </c:numCache>
            </c:numRef>
          </c:cat>
          <c:val>
            <c:numRef>
              <c:f>'List of Ratios'!$C$5:$E$5</c:f>
              <c:numCache>
                <c:formatCode>0.00</c:formatCode>
                <c:ptCount val="3"/>
                <c:pt idx="0">
                  <c:v>0.9446435811136924</c:v>
                </c:pt>
                <c:pt idx="1">
                  <c:v>1.1357597739445826</c:v>
                </c:pt>
                <c:pt idx="2">
                  <c:v>1.0502274795268425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9C-4295-8BF0-7FA5B6BF55A3}"/>
            </c:ext>
          </c:extLst>
        </c:ser>
        <c:ser>
          <c:idx val="2"/>
          <c:order val="2"/>
          <c:tx>
            <c:strRef>
              <c:f>'List of Ratios'!$B$6</c:f>
              <c:strCache>
                <c:ptCount val="1"/>
                <c:pt idx="0">
                  <c:v>Quick Ratio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'List of Ratios'!$C$3:$E$3</c:f>
              <c:numCache>
                <c:formatCode>General</c:formatCode>
                <c:ptCount val="3"/>
                <c:pt idx="0">
                  <c:v>2022</c:v>
                </c:pt>
                <c:pt idx="1">
                  <c:v>2021</c:v>
                </c:pt>
                <c:pt idx="2">
                  <c:v>2020</c:v>
                </c:pt>
              </c:numCache>
            </c:numRef>
          </c:cat>
          <c:val>
            <c:numRef>
              <c:f>'List of Ratios'!$C$6:$E$6</c:f>
              <c:numCache>
                <c:formatCode>0.00</c:formatCode>
                <c:ptCount val="3"/>
                <c:pt idx="0">
                  <c:v>0.72323721145740161</c:v>
                </c:pt>
                <c:pt idx="1">
                  <c:v>0.90456609449903702</c:v>
                </c:pt>
                <c:pt idx="2">
                  <c:v>0.86195355461486722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9C-4295-8BF0-7FA5B6BF55A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76403840"/>
        <c:axId val="87639840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'List of Ratios'!$B$4</c15:sqref>
                        </c15:formulaRef>
                      </c:ext>
                    </c:extLst>
                    <c:strCache>
                      <c:ptCount val="1"/>
                      <c:pt idx="0">
                        <c:v>Liquidity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'List of Ratios'!$C$3:$E$3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2022</c:v>
                      </c:pt>
                      <c:pt idx="1">
                        <c:v>2021</c:v>
                      </c:pt>
                      <c:pt idx="2">
                        <c:v>2020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'List of Ratios'!$C$4:$E$4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A99C-4295-8BF0-7FA5B6BF55A3}"/>
                  </c:ext>
                </c:extLst>
              </c15:ser>
            </c15:filteredBarSeries>
          </c:ext>
        </c:extLst>
      </c:barChart>
      <c:catAx>
        <c:axId val="8764038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Year ending December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6398400"/>
        <c:crosses val="autoZero"/>
        <c:auto val="1"/>
        <c:lblAlgn val="ctr"/>
        <c:lblOffset val="100"/>
        <c:noMultiLvlLbl val="0"/>
      </c:catAx>
      <c:valAx>
        <c:axId val="876398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Ratio</a:t>
                </a:r>
                <a:r>
                  <a:rPr lang="en-GB" baseline="0"/>
                  <a:t> Value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6403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11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2193" cy="606035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9C6FA52-2012-063F-2F0F-EE71A63524F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r.aboutamazon.com/annual-reports-proxies-and-shareholder-letter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5"/>
  <sheetViews>
    <sheetView workbookViewId="0">
      <selection activeCell="A24" sqref="A24"/>
    </sheetView>
  </sheetViews>
  <sheetFormatPr baseColWidth="10" defaultColWidth="8.83203125" defaultRowHeight="15" x14ac:dyDescent="0.2"/>
  <cols>
    <col min="1" max="1" width="157.83203125" style="2" customWidth="1"/>
  </cols>
  <sheetData>
    <row r="1" spans="1:1" ht="25" x14ac:dyDescent="0.3">
      <c r="A1" s="3" t="s">
        <v>0</v>
      </c>
    </row>
    <row r="3" spans="1:1" ht="16" x14ac:dyDescent="0.2">
      <c r="A3" s="2" t="s">
        <v>63</v>
      </c>
    </row>
    <row r="4" spans="1:1" ht="16" x14ac:dyDescent="0.2">
      <c r="A4" s="5" t="s">
        <v>5</v>
      </c>
    </row>
    <row r="5" spans="1:1" ht="16" x14ac:dyDescent="0.2">
      <c r="A5" s="6" t="s">
        <v>1</v>
      </c>
    </row>
    <row r="7" spans="1:1" ht="16" x14ac:dyDescent="0.2">
      <c r="A7" s="2" t="s">
        <v>61</v>
      </c>
    </row>
    <row r="8" spans="1:1" ht="16" x14ac:dyDescent="0.2">
      <c r="A8" s="2" t="s">
        <v>62</v>
      </c>
    </row>
    <row r="9" spans="1:1" ht="16" x14ac:dyDescent="0.2">
      <c r="A9" s="2" t="s">
        <v>2</v>
      </c>
    </row>
    <row r="10" spans="1:1" ht="16" x14ac:dyDescent="0.2">
      <c r="A10" s="2" t="s">
        <v>6</v>
      </c>
    </row>
    <row r="11" spans="1:1" ht="16" x14ac:dyDescent="0.2">
      <c r="A11" s="2" t="s">
        <v>4</v>
      </c>
    </row>
    <row r="13" spans="1:1" ht="16" x14ac:dyDescent="0.2">
      <c r="A13" s="4" t="s">
        <v>3</v>
      </c>
    </row>
    <row r="14" spans="1:1" ht="16" x14ac:dyDescent="0.2">
      <c r="A14" s="2" t="s">
        <v>7</v>
      </c>
    </row>
    <row r="15" spans="1:1" ht="16" x14ac:dyDescent="0.2">
      <c r="A15" s="2" t="s">
        <v>8</v>
      </c>
    </row>
  </sheetData>
  <hyperlinks>
    <hyperlink ref="A5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17"/>
  <sheetViews>
    <sheetView topLeftCell="A70" workbookViewId="0">
      <selection activeCell="D9" sqref="D9"/>
    </sheetView>
  </sheetViews>
  <sheetFormatPr baseColWidth="10" defaultColWidth="8.83203125" defaultRowHeight="15" x14ac:dyDescent="0.2"/>
  <cols>
    <col min="1" max="1" width="62.1640625" customWidth="1"/>
    <col min="2" max="3" width="11.5" bestFit="1" customWidth="1"/>
    <col min="4" max="4" width="11.6640625" bestFit="1" customWidth="1"/>
  </cols>
  <sheetData>
    <row r="1" spans="1:12" ht="60" customHeight="1" x14ac:dyDescent="0.2">
      <c r="A1" s="7" t="s">
        <v>56</v>
      </c>
      <c r="B1" s="8" t="s">
        <v>9</v>
      </c>
      <c r="C1" s="8"/>
      <c r="D1" s="8"/>
      <c r="E1" s="8"/>
      <c r="F1" s="8"/>
      <c r="G1" s="8"/>
      <c r="H1" s="8"/>
      <c r="I1" s="8"/>
      <c r="J1" s="8"/>
    </row>
    <row r="2" spans="1:12" x14ac:dyDescent="0.2">
      <c r="A2" s="34" t="s">
        <v>10</v>
      </c>
      <c r="B2" s="34"/>
      <c r="C2" s="34"/>
      <c r="D2" s="34"/>
    </row>
    <row r="3" spans="1:12" x14ac:dyDescent="0.2">
      <c r="B3" s="33" t="s">
        <v>57</v>
      </c>
      <c r="C3" s="33"/>
      <c r="D3" s="33"/>
    </row>
    <row r="4" spans="1:12" x14ac:dyDescent="0.2">
      <c r="B4" s="9">
        <v>2022</v>
      </c>
      <c r="C4" s="9">
        <v>2021</v>
      </c>
      <c r="D4" s="9">
        <v>2020</v>
      </c>
    </row>
    <row r="5" spans="1:12" x14ac:dyDescent="0.2">
      <c r="A5" t="s">
        <v>64</v>
      </c>
      <c r="J5">
        <v>366</v>
      </c>
      <c r="L5" s="10"/>
    </row>
    <row r="6" spans="1:12" x14ac:dyDescent="0.2">
      <c r="A6" s="1" t="s">
        <v>65</v>
      </c>
      <c r="B6" s="16">
        <v>242901</v>
      </c>
      <c r="C6" s="16">
        <v>241787</v>
      </c>
      <c r="D6" s="10">
        <v>215925</v>
      </c>
      <c r="J6">
        <v>365</v>
      </c>
      <c r="L6" s="10"/>
    </row>
    <row r="7" spans="1:12" x14ac:dyDescent="0.2">
      <c r="A7" s="1" t="s">
        <v>66</v>
      </c>
      <c r="B7" s="16">
        <v>271082</v>
      </c>
      <c r="C7" s="16">
        <v>228035</v>
      </c>
      <c r="D7" s="10">
        <v>170149</v>
      </c>
      <c r="L7" s="12"/>
    </row>
    <row r="8" spans="1:12" x14ac:dyDescent="0.2">
      <c r="A8" s="11" t="s">
        <v>67</v>
      </c>
      <c r="B8" s="12">
        <f t="shared" ref="B8:C8" si="0">SUM(B6:B7)</f>
        <v>513983</v>
      </c>
      <c r="C8" s="12">
        <f t="shared" si="0"/>
        <v>469822</v>
      </c>
      <c r="D8" s="12">
        <f>SUM(D6:D7)</f>
        <v>386074</v>
      </c>
      <c r="L8" s="16"/>
    </row>
    <row r="9" spans="1:12" x14ac:dyDescent="0.2">
      <c r="A9" t="s">
        <v>68</v>
      </c>
      <c r="B9" s="16"/>
      <c r="C9" s="16"/>
      <c r="D9" s="16"/>
      <c r="L9" s="16"/>
    </row>
    <row r="10" spans="1:12" x14ac:dyDescent="0.2">
      <c r="A10" s="1" t="s">
        <v>65</v>
      </c>
      <c r="B10" s="16"/>
      <c r="C10" s="16"/>
      <c r="D10" s="16"/>
      <c r="L10" s="10"/>
    </row>
    <row r="11" spans="1:12" x14ac:dyDescent="0.2">
      <c r="A11" s="1" t="s">
        <v>66</v>
      </c>
      <c r="B11" s="10"/>
      <c r="C11" s="10"/>
      <c r="D11" s="10"/>
      <c r="L11" s="12"/>
    </row>
    <row r="12" spans="1:12" x14ac:dyDescent="0.2">
      <c r="A12" s="11" t="s">
        <v>69</v>
      </c>
      <c r="B12" s="12">
        <v>288831</v>
      </c>
      <c r="C12" s="12">
        <v>272344</v>
      </c>
      <c r="D12" s="12">
        <v>233307</v>
      </c>
      <c r="L12" s="12"/>
    </row>
    <row r="13" spans="1:12" x14ac:dyDescent="0.2">
      <c r="A13" s="11" t="s">
        <v>11</v>
      </c>
      <c r="B13" s="12">
        <f>B8-B12</f>
        <v>225152</v>
      </c>
      <c r="C13" s="12">
        <f t="shared" ref="C13:D13" si="1">C8-C12</f>
        <v>197478</v>
      </c>
      <c r="D13" s="12">
        <f t="shared" si="1"/>
        <v>152767</v>
      </c>
      <c r="L13" s="10"/>
    </row>
    <row r="14" spans="1:12" x14ac:dyDescent="0.2">
      <c r="A14" t="s">
        <v>70</v>
      </c>
      <c r="B14" s="10"/>
      <c r="C14" s="10"/>
      <c r="D14" s="10"/>
      <c r="L14" s="10"/>
    </row>
    <row r="15" spans="1:12" x14ac:dyDescent="0.2">
      <c r="A15" s="1" t="s">
        <v>71</v>
      </c>
      <c r="B15" s="10">
        <v>73213</v>
      </c>
      <c r="C15" s="10">
        <v>56052</v>
      </c>
      <c r="D15" s="10">
        <v>42740</v>
      </c>
      <c r="L15" s="10"/>
    </row>
    <row r="16" spans="1:12" x14ac:dyDescent="0.2">
      <c r="A16" s="1" t="s">
        <v>72</v>
      </c>
      <c r="B16" s="10">
        <f>84299+42238+11891</f>
        <v>138428</v>
      </c>
      <c r="C16" s="10">
        <f>75111+32551+8823</f>
        <v>116485</v>
      </c>
      <c r="D16" s="10">
        <f>6668+22008+58517</f>
        <v>87193</v>
      </c>
      <c r="L16" s="12"/>
    </row>
    <row r="17" spans="1:12" x14ac:dyDescent="0.2">
      <c r="A17" s="11" t="s">
        <v>73</v>
      </c>
      <c r="B17" s="12">
        <f>SUM(B15,B16,B12)+B19</f>
        <v>501735</v>
      </c>
      <c r="C17" s="12">
        <f t="shared" ref="C17:D17" si="2">SUM(C15,C16,C12)+C19</f>
        <v>444943</v>
      </c>
      <c r="D17" s="12">
        <f t="shared" si="2"/>
        <v>363165</v>
      </c>
      <c r="L17" s="12"/>
    </row>
    <row r="18" spans="1:12" s="11" customFormat="1" x14ac:dyDescent="0.2">
      <c r="A18" s="11" t="s">
        <v>74</v>
      </c>
      <c r="B18" s="12">
        <f>B13-B17</f>
        <v>-276583</v>
      </c>
      <c r="C18" s="12">
        <f t="shared" ref="C18:D18" si="3">C13-C17</f>
        <v>-247465</v>
      </c>
      <c r="D18" s="12">
        <f t="shared" si="3"/>
        <v>-210398</v>
      </c>
      <c r="L18" s="10"/>
    </row>
    <row r="19" spans="1:12" x14ac:dyDescent="0.2">
      <c r="A19" t="s">
        <v>75</v>
      </c>
      <c r="B19" s="10">
        <v>1263</v>
      </c>
      <c r="C19" s="10">
        <v>62</v>
      </c>
      <c r="D19" s="10">
        <v>-75</v>
      </c>
      <c r="L19" s="12"/>
    </row>
    <row r="20" spans="1:12" x14ac:dyDescent="0.2">
      <c r="A20" s="11" t="s">
        <v>76</v>
      </c>
      <c r="B20" s="12">
        <v>-5936</v>
      </c>
      <c r="C20" s="12">
        <v>38151</v>
      </c>
      <c r="D20" s="12">
        <v>24178</v>
      </c>
      <c r="L20" s="10"/>
    </row>
    <row r="21" spans="1:12" ht="16" thickBot="1" x14ac:dyDescent="0.25">
      <c r="A21" t="s">
        <v>77</v>
      </c>
      <c r="B21" s="10">
        <v>3217</v>
      </c>
      <c r="C21" s="10">
        <v>-4791</v>
      </c>
      <c r="D21" s="10">
        <v>-2863</v>
      </c>
      <c r="L21" s="14"/>
    </row>
    <row r="22" spans="1:12" ht="17" thickTop="1" thickBot="1" x14ac:dyDescent="0.25">
      <c r="A22" s="13" t="s">
        <v>78</v>
      </c>
      <c r="B22" s="14">
        <v>-2722</v>
      </c>
      <c r="C22" s="14">
        <v>33364</v>
      </c>
      <c r="D22" s="14">
        <v>21331</v>
      </c>
    </row>
    <row r="23" spans="1:12" ht="16" thickTop="1" x14ac:dyDescent="0.2">
      <c r="A23" t="s">
        <v>79</v>
      </c>
    </row>
    <row r="24" spans="1:12" x14ac:dyDescent="0.2">
      <c r="A24" s="1" t="s">
        <v>80</v>
      </c>
      <c r="B24" s="15">
        <v>-0.27</v>
      </c>
      <c r="C24" s="15">
        <v>3.3</v>
      </c>
      <c r="D24" s="15">
        <v>2.13</v>
      </c>
    </row>
    <row r="25" spans="1:12" x14ac:dyDescent="0.2">
      <c r="A25" s="1" t="s">
        <v>81</v>
      </c>
      <c r="B25" s="15">
        <v>-0.27</v>
      </c>
      <c r="C25" s="15">
        <v>3.24</v>
      </c>
      <c r="D25" s="15">
        <v>2.09</v>
      </c>
    </row>
    <row r="26" spans="1:12" x14ac:dyDescent="0.2">
      <c r="A26" t="s">
        <v>82</v>
      </c>
      <c r="L26" s="16"/>
    </row>
    <row r="27" spans="1:12" x14ac:dyDescent="0.2">
      <c r="A27" s="1" t="s">
        <v>80</v>
      </c>
      <c r="B27" s="16">
        <v>10189000</v>
      </c>
      <c r="C27" s="16">
        <v>10117000</v>
      </c>
      <c r="D27" s="16">
        <v>10005000</v>
      </c>
      <c r="L27" s="16"/>
    </row>
    <row r="28" spans="1:12" x14ac:dyDescent="0.2">
      <c r="A28" s="1" t="s">
        <v>81</v>
      </c>
      <c r="B28" s="16">
        <v>10189000</v>
      </c>
      <c r="C28" s="16">
        <v>10296000</v>
      </c>
      <c r="D28" s="16">
        <v>10198000</v>
      </c>
    </row>
    <row r="29" spans="1:12" x14ac:dyDescent="0.2">
      <c r="A29" s="1" t="s">
        <v>83</v>
      </c>
      <c r="B29">
        <v>162.85</v>
      </c>
      <c r="C29">
        <v>166.72</v>
      </c>
      <c r="D29">
        <v>84</v>
      </c>
    </row>
    <row r="31" spans="1:12" x14ac:dyDescent="0.2">
      <c r="A31" s="34" t="s">
        <v>12</v>
      </c>
      <c r="B31" s="34"/>
      <c r="C31" s="34"/>
      <c r="D31" s="34"/>
    </row>
    <row r="32" spans="1:12" x14ac:dyDescent="0.2">
      <c r="B32" s="33" t="s">
        <v>58</v>
      </c>
      <c r="C32" s="33"/>
      <c r="D32" s="33"/>
    </row>
    <row r="33" spans="1:4" x14ac:dyDescent="0.2">
      <c r="B33" s="9">
        <v>2022</v>
      </c>
      <c r="C33" s="9">
        <v>2021</v>
      </c>
      <c r="D33" s="9">
        <v>2020</v>
      </c>
    </row>
    <row r="35" spans="1:4" x14ac:dyDescent="0.2">
      <c r="A35" t="s">
        <v>84</v>
      </c>
    </row>
    <row r="36" spans="1:4" x14ac:dyDescent="0.2">
      <c r="A36" s="1" t="s">
        <v>85</v>
      </c>
      <c r="B36" s="16">
        <v>53888</v>
      </c>
      <c r="C36" s="16">
        <v>36220</v>
      </c>
      <c r="D36" s="16">
        <v>42122</v>
      </c>
    </row>
    <row r="37" spans="1:4" x14ac:dyDescent="0.2">
      <c r="A37" s="1" t="s">
        <v>86</v>
      </c>
      <c r="B37" s="16">
        <v>16138</v>
      </c>
      <c r="C37" s="16">
        <v>59829</v>
      </c>
      <c r="D37" s="16">
        <v>42274</v>
      </c>
    </row>
    <row r="38" spans="1:4" x14ac:dyDescent="0.2">
      <c r="A38" s="1" t="s">
        <v>87</v>
      </c>
      <c r="B38" s="16">
        <v>42360</v>
      </c>
      <c r="C38" s="16">
        <v>32640</v>
      </c>
      <c r="D38" s="16">
        <v>24542</v>
      </c>
    </row>
    <row r="39" spans="1:4" x14ac:dyDescent="0.2">
      <c r="A39" s="1" t="s">
        <v>88</v>
      </c>
      <c r="B39" s="16">
        <v>34405</v>
      </c>
      <c r="C39" s="16">
        <v>32891</v>
      </c>
      <c r="D39" s="16">
        <v>23795</v>
      </c>
    </row>
    <row r="40" spans="1:4" x14ac:dyDescent="0.2">
      <c r="A40" s="1" t="s">
        <v>89</v>
      </c>
      <c r="B40" s="10"/>
      <c r="C40" s="10"/>
      <c r="D40" s="10"/>
    </row>
    <row r="41" spans="1:4" x14ac:dyDescent="0.2">
      <c r="A41" s="1" t="s">
        <v>90</v>
      </c>
      <c r="B41" s="10"/>
      <c r="C41" s="10"/>
      <c r="D41" s="10"/>
    </row>
    <row r="42" spans="1:4" x14ac:dyDescent="0.2">
      <c r="A42" s="11" t="s">
        <v>91</v>
      </c>
      <c r="B42" s="12">
        <f>SUM(B36:B39)</f>
        <v>146791</v>
      </c>
      <c r="C42" s="12">
        <f t="shared" ref="C42:D42" si="4">SUM(C36:C39)</f>
        <v>161580</v>
      </c>
      <c r="D42" s="12">
        <f t="shared" si="4"/>
        <v>132733</v>
      </c>
    </row>
    <row r="43" spans="1:4" x14ac:dyDescent="0.2">
      <c r="A43" t="s">
        <v>92</v>
      </c>
      <c r="B43" s="10"/>
      <c r="C43" s="10"/>
      <c r="D43" s="10"/>
    </row>
    <row r="44" spans="1:4" x14ac:dyDescent="0.2">
      <c r="A44" s="1" t="s">
        <v>86</v>
      </c>
      <c r="B44" s="10"/>
      <c r="C44" s="10"/>
      <c r="D44" s="10"/>
    </row>
    <row r="45" spans="1:4" x14ac:dyDescent="0.2">
      <c r="A45" s="1" t="s">
        <v>93</v>
      </c>
      <c r="B45" s="16">
        <v>186715</v>
      </c>
      <c r="C45" s="16">
        <v>160281</v>
      </c>
      <c r="D45" s="16">
        <v>113114</v>
      </c>
    </row>
    <row r="46" spans="1:4" x14ac:dyDescent="0.2">
      <c r="A46" s="1" t="s">
        <v>94</v>
      </c>
      <c r="B46" s="10">
        <f>20288+42758+66123</f>
        <v>129169</v>
      </c>
      <c r="C46" s="10">
        <f>56082+15371+27235</f>
        <v>98688</v>
      </c>
      <c r="D46" s="10">
        <f>37553+15017+22778</f>
        <v>75348</v>
      </c>
    </row>
    <row r="47" spans="1:4" x14ac:dyDescent="0.2">
      <c r="A47" s="11" t="s">
        <v>95</v>
      </c>
      <c r="B47" s="12">
        <f>SUM(B45:B46)</f>
        <v>315884</v>
      </c>
      <c r="C47" s="12">
        <f t="shared" ref="C47:D47" si="5">SUM(C45:C46)</f>
        <v>258969</v>
      </c>
      <c r="D47" s="12">
        <f t="shared" si="5"/>
        <v>188462</v>
      </c>
    </row>
    <row r="48" spans="1:4" ht="16" thickBot="1" x14ac:dyDescent="0.25">
      <c r="A48" s="13" t="s">
        <v>96</v>
      </c>
      <c r="B48" s="14">
        <f>B42+B47</f>
        <v>462675</v>
      </c>
      <c r="C48" s="14">
        <f t="shared" ref="C48:D48" si="6">C42+C47</f>
        <v>420549</v>
      </c>
      <c r="D48" s="14">
        <f t="shared" si="6"/>
        <v>321195</v>
      </c>
    </row>
    <row r="49" spans="1:4" ht="16" thickTop="1" x14ac:dyDescent="0.2"/>
    <row r="50" spans="1:4" x14ac:dyDescent="0.2">
      <c r="A50" t="s">
        <v>97</v>
      </c>
    </row>
    <row r="51" spans="1:4" x14ac:dyDescent="0.2">
      <c r="A51" s="1" t="s">
        <v>98</v>
      </c>
      <c r="B51" s="16">
        <v>79600</v>
      </c>
      <c r="C51" s="16">
        <v>78664</v>
      </c>
      <c r="D51" s="16">
        <v>72539</v>
      </c>
    </row>
    <row r="52" spans="1:4" x14ac:dyDescent="0.2">
      <c r="A52" s="1" t="s">
        <v>99</v>
      </c>
      <c r="B52" s="16">
        <v>62566</v>
      </c>
      <c r="C52" s="16">
        <v>51775</v>
      </c>
      <c r="D52" s="16">
        <v>44138</v>
      </c>
    </row>
    <row r="53" spans="1:4" x14ac:dyDescent="0.2">
      <c r="A53" s="1" t="s">
        <v>100</v>
      </c>
      <c r="B53" s="16">
        <v>13227</v>
      </c>
      <c r="C53" s="16">
        <v>11827</v>
      </c>
      <c r="D53" s="16">
        <v>9708</v>
      </c>
    </row>
    <row r="54" spans="1:4" x14ac:dyDescent="0.2">
      <c r="A54" s="1" t="s">
        <v>101</v>
      </c>
      <c r="B54" s="10"/>
      <c r="C54" s="10"/>
      <c r="D54" s="10"/>
    </row>
    <row r="55" spans="1:4" x14ac:dyDescent="0.2">
      <c r="A55" s="1" t="s">
        <v>102</v>
      </c>
      <c r="B55" s="16"/>
      <c r="C55" s="16"/>
      <c r="D55" s="10"/>
    </row>
    <row r="56" spans="1:4" x14ac:dyDescent="0.2">
      <c r="A56" s="11" t="s">
        <v>103</v>
      </c>
      <c r="B56" s="12">
        <f>SUM(B51:B53)</f>
        <v>155393</v>
      </c>
      <c r="C56" s="12">
        <f t="shared" ref="C56:D56" si="7">SUM(C51:C53)</f>
        <v>142266</v>
      </c>
      <c r="D56" s="12">
        <f t="shared" si="7"/>
        <v>126385</v>
      </c>
    </row>
    <row r="57" spans="1:4" x14ac:dyDescent="0.2">
      <c r="A57" t="s">
        <v>104</v>
      </c>
      <c r="B57" s="10"/>
      <c r="C57" s="10"/>
      <c r="D57" s="10"/>
    </row>
    <row r="58" spans="1:4" x14ac:dyDescent="0.2">
      <c r="A58" s="1" t="s">
        <v>100</v>
      </c>
      <c r="B58" s="10"/>
      <c r="C58" s="10"/>
      <c r="D58" s="10"/>
    </row>
    <row r="59" spans="1:4" x14ac:dyDescent="0.2">
      <c r="A59" s="1" t="s">
        <v>102</v>
      </c>
      <c r="B59" s="16">
        <v>67150</v>
      </c>
      <c r="C59" s="16">
        <v>48744</v>
      </c>
      <c r="D59" s="10">
        <v>31816</v>
      </c>
    </row>
    <row r="60" spans="1:4" x14ac:dyDescent="0.2">
      <c r="A60" s="1" t="s">
        <v>105</v>
      </c>
      <c r="B60" s="16">
        <f>155393+21121</f>
        <v>176514</v>
      </c>
      <c r="C60" s="16">
        <f>142266+23643</f>
        <v>165909</v>
      </c>
      <c r="D60" s="10">
        <f>126385+17017</f>
        <v>143402</v>
      </c>
    </row>
    <row r="61" spans="1:4" x14ac:dyDescent="0.2">
      <c r="A61" s="24" t="s">
        <v>106</v>
      </c>
      <c r="B61" s="17">
        <f>SUM(B59:B60)</f>
        <v>243664</v>
      </c>
      <c r="C61" s="17">
        <f t="shared" ref="C61:D61" si="8">SUM(C59:C60)</f>
        <v>214653</v>
      </c>
      <c r="D61" s="17">
        <f t="shared" si="8"/>
        <v>175218</v>
      </c>
    </row>
    <row r="62" spans="1:4" x14ac:dyDescent="0.2">
      <c r="A62" s="11" t="s">
        <v>107</v>
      </c>
      <c r="B62" s="12">
        <f>B56+B61</f>
        <v>399057</v>
      </c>
      <c r="C62" s="12">
        <f t="shared" ref="C62:D62" si="9">C56+C61</f>
        <v>356919</v>
      </c>
      <c r="D62" s="12">
        <f t="shared" si="9"/>
        <v>301603</v>
      </c>
    </row>
    <row r="63" spans="1:4" x14ac:dyDescent="0.2">
      <c r="B63" s="10"/>
      <c r="C63" s="10"/>
      <c r="D63" s="10"/>
    </row>
    <row r="64" spans="1:4" x14ac:dyDescent="0.2">
      <c r="A64" t="s">
        <v>108</v>
      </c>
      <c r="B64" s="10"/>
      <c r="C64" s="10"/>
      <c r="D64" s="10"/>
    </row>
    <row r="65" spans="1:4" x14ac:dyDescent="0.2">
      <c r="A65" s="1" t="s">
        <v>109</v>
      </c>
      <c r="B65" s="10">
        <v>108</v>
      </c>
      <c r="C65" s="10">
        <v>106</v>
      </c>
      <c r="D65" s="10">
        <v>5</v>
      </c>
    </row>
    <row r="66" spans="1:4" x14ac:dyDescent="0.2">
      <c r="A66" s="1" t="s">
        <v>110</v>
      </c>
      <c r="B66" s="10">
        <v>83193</v>
      </c>
      <c r="C66" s="10">
        <v>85915</v>
      </c>
      <c r="D66" s="10">
        <v>52551</v>
      </c>
    </row>
    <row r="67" spans="1:4" x14ac:dyDescent="0.2">
      <c r="A67" s="1" t="s">
        <v>111</v>
      </c>
      <c r="B67" s="10">
        <f>-4487+75066-7837</f>
        <v>62742</v>
      </c>
      <c r="C67" s="10">
        <f>-1376+55437-1837</f>
        <v>52224</v>
      </c>
      <c r="D67" s="10">
        <f>-180+42865-1837</f>
        <v>40848</v>
      </c>
    </row>
    <row r="68" spans="1:4" x14ac:dyDescent="0.2">
      <c r="A68" s="11" t="s">
        <v>112</v>
      </c>
      <c r="B68" s="12">
        <f>SUM(B65:B67)</f>
        <v>146043</v>
      </c>
      <c r="C68" s="12">
        <f t="shared" ref="C68" si="10">SUM(C65:C67)</f>
        <v>138245</v>
      </c>
      <c r="D68" s="12">
        <f>SUM(D65:D67)</f>
        <v>93404</v>
      </c>
    </row>
    <row r="69" spans="1:4" ht="16" thickBot="1" x14ac:dyDescent="0.25">
      <c r="A69" s="13" t="s">
        <v>113</v>
      </c>
      <c r="B69" s="14"/>
      <c r="C69" s="14"/>
      <c r="D69" s="14"/>
    </row>
    <row r="70" spans="1:4" ht="16" thickTop="1" x14ac:dyDescent="0.2"/>
    <row r="71" spans="1:4" x14ac:dyDescent="0.2">
      <c r="A71" s="34" t="s">
        <v>13</v>
      </c>
      <c r="B71" s="34"/>
      <c r="C71" s="34"/>
      <c r="D71" s="34"/>
    </row>
    <row r="72" spans="1:4" x14ac:dyDescent="0.2">
      <c r="B72" s="33" t="s">
        <v>57</v>
      </c>
      <c r="C72" s="33"/>
      <c r="D72" s="33"/>
    </row>
    <row r="73" spans="1:4" x14ac:dyDescent="0.2">
      <c r="B73" s="9">
        <v>2022</v>
      </c>
      <c r="C73" s="9">
        <v>2021</v>
      </c>
      <c r="D73" s="9">
        <v>2020</v>
      </c>
    </row>
    <row r="75" spans="1:4" x14ac:dyDescent="0.2">
      <c r="A75" s="9" t="s">
        <v>114</v>
      </c>
      <c r="B75" s="27">
        <v>36477</v>
      </c>
      <c r="C75" s="27">
        <v>42377</v>
      </c>
      <c r="D75" s="27">
        <v>36410</v>
      </c>
    </row>
    <row r="76" spans="1:4" x14ac:dyDescent="0.2">
      <c r="A76" t="s">
        <v>115</v>
      </c>
      <c r="B76" s="10"/>
      <c r="C76" s="10"/>
      <c r="D76" s="10"/>
    </row>
    <row r="77" spans="1:4" x14ac:dyDescent="0.2">
      <c r="A77" s="18" t="s">
        <v>78</v>
      </c>
      <c r="B77" s="17">
        <v>-2722</v>
      </c>
      <c r="C77" s="17">
        <v>33364</v>
      </c>
      <c r="D77" s="17">
        <v>21331</v>
      </c>
    </row>
    <row r="78" spans="1:4" x14ac:dyDescent="0.2">
      <c r="A78" s="1" t="s">
        <v>116</v>
      </c>
      <c r="B78" s="16"/>
      <c r="C78" s="16"/>
      <c r="D78" s="16"/>
    </row>
    <row r="79" spans="1:4" x14ac:dyDescent="0.2">
      <c r="A79" s="19" t="s">
        <v>117</v>
      </c>
      <c r="B79" s="16">
        <v>41921</v>
      </c>
      <c r="C79" s="16">
        <v>34433</v>
      </c>
      <c r="D79" s="16">
        <v>25180</v>
      </c>
    </row>
    <row r="80" spans="1:4" x14ac:dyDescent="0.2">
      <c r="A80" s="19" t="s">
        <v>118</v>
      </c>
      <c r="B80" s="16">
        <v>19621</v>
      </c>
      <c r="C80" s="16">
        <v>12757</v>
      </c>
      <c r="D80" s="16">
        <v>9208</v>
      </c>
    </row>
    <row r="81" spans="1:4" x14ac:dyDescent="0.2">
      <c r="A81" s="19" t="s">
        <v>119</v>
      </c>
      <c r="B81" s="16">
        <v>-8148</v>
      </c>
      <c r="C81">
        <v>-310</v>
      </c>
      <c r="D81">
        <v>-554</v>
      </c>
    </row>
    <row r="82" spans="1:4" x14ac:dyDescent="0.2">
      <c r="A82" s="19" t="s">
        <v>120</v>
      </c>
      <c r="B82" s="16">
        <v>16966</v>
      </c>
      <c r="C82" s="16">
        <v>-14306</v>
      </c>
      <c r="D82" s="16">
        <v>-2582</v>
      </c>
    </row>
    <row r="83" spans="1:4" x14ac:dyDescent="0.2">
      <c r="A83" t="s">
        <v>121</v>
      </c>
      <c r="B83" s="10"/>
      <c r="C83" s="10"/>
      <c r="D83" s="10"/>
    </row>
    <row r="84" spans="1:4" x14ac:dyDescent="0.2">
      <c r="A84" s="1" t="s">
        <v>87</v>
      </c>
      <c r="B84" s="16">
        <v>-21897</v>
      </c>
      <c r="C84" s="16">
        <v>-18163</v>
      </c>
      <c r="D84" s="16">
        <v>-8169</v>
      </c>
    </row>
    <row r="85" spans="1:4" x14ac:dyDescent="0.2">
      <c r="A85" s="1" t="s">
        <v>88</v>
      </c>
      <c r="B85" s="16">
        <v>-2592</v>
      </c>
      <c r="C85" s="16">
        <v>-9487</v>
      </c>
      <c r="D85" s="16">
        <v>-2849</v>
      </c>
    </row>
    <row r="86" spans="1:4" x14ac:dyDescent="0.2">
      <c r="A86" s="1" t="s">
        <v>89</v>
      </c>
      <c r="B86" s="10"/>
      <c r="C86" s="10"/>
      <c r="D86" s="10"/>
    </row>
    <row r="87" spans="1:4" x14ac:dyDescent="0.2">
      <c r="A87" s="1" t="s">
        <v>122</v>
      </c>
      <c r="B87" s="10"/>
      <c r="C87" s="10"/>
      <c r="D87" s="10"/>
    </row>
    <row r="88" spans="1:4" x14ac:dyDescent="0.2">
      <c r="A88" s="1" t="s">
        <v>98</v>
      </c>
      <c r="B88" s="16">
        <v>2945</v>
      </c>
      <c r="C88" s="16">
        <v>3602</v>
      </c>
      <c r="D88" s="16">
        <v>17480</v>
      </c>
    </row>
    <row r="89" spans="1:4" x14ac:dyDescent="0.2">
      <c r="A89" s="1" t="s">
        <v>100</v>
      </c>
      <c r="B89" s="16">
        <v>2216</v>
      </c>
      <c r="C89" s="16">
        <v>2314</v>
      </c>
      <c r="D89" s="16">
        <v>1265</v>
      </c>
    </row>
    <row r="90" spans="1:4" x14ac:dyDescent="0.2">
      <c r="A90" s="1" t="s">
        <v>123</v>
      </c>
      <c r="B90" s="16">
        <v>-1558</v>
      </c>
      <c r="C90" s="16">
        <v>2123</v>
      </c>
      <c r="D90" s="16">
        <v>5754</v>
      </c>
    </row>
    <row r="91" spans="1:4" x14ac:dyDescent="0.2">
      <c r="A91" s="11" t="s">
        <v>124</v>
      </c>
      <c r="B91" s="12">
        <f>SUM(B76:B90)</f>
        <v>46752</v>
      </c>
      <c r="C91" s="12">
        <f t="shared" ref="C91:D91" si="11">SUM(C76:C90)</f>
        <v>46327</v>
      </c>
      <c r="D91" s="12">
        <f t="shared" si="11"/>
        <v>66064</v>
      </c>
    </row>
    <row r="92" spans="1:4" x14ac:dyDescent="0.2">
      <c r="A92" s="9" t="s">
        <v>125</v>
      </c>
      <c r="B92" s="10"/>
      <c r="C92" s="10"/>
      <c r="D92" s="10"/>
    </row>
    <row r="93" spans="1:4" x14ac:dyDescent="0.2">
      <c r="A93" s="1" t="s">
        <v>126</v>
      </c>
      <c r="B93" s="16">
        <v>-2565</v>
      </c>
      <c r="C93" s="16">
        <v>-60157</v>
      </c>
      <c r="D93" s="16">
        <v>-72479</v>
      </c>
    </row>
    <row r="94" spans="1:4" x14ac:dyDescent="0.2">
      <c r="A94" s="1" t="s">
        <v>160</v>
      </c>
      <c r="B94" s="16">
        <v>31601</v>
      </c>
      <c r="C94" s="16">
        <v>59384</v>
      </c>
      <c r="D94" s="16">
        <v>50237</v>
      </c>
    </row>
    <row r="95" spans="1:4" x14ac:dyDescent="0.2">
      <c r="A95" s="1" t="s">
        <v>161</v>
      </c>
      <c r="B95" s="16">
        <v>5324</v>
      </c>
      <c r="C95" s="16">
        <v>5657</v>
      </c>
      <c r="D95" s="16">
        <v>5096</v>
      </c>
    </row>
    <row r="96" spans="1:4" x14ac:dyDescent="0.2">
      <c r="A96" s="1" t="s">
        <v>127</v>
      </c>
      <c r="B96" s="16">
        <v>-63645</v>
      </c>
      <c r="C96" s="16">
        <v>-61053</v>
      </c>
      <c r="D96" s="16">
        <v>-40140</v>
      </c>
    </row>
    <row r="97" spans="1:4" x14ac:dyDescent="0.2">
      <c r="A97" s="1" t="s">
        <v>128</v>
      </c>
      <c r="B97" s="16">
        <v>-8316</v>
      </c>
      <c r="C97" s="16">
        <v>-1985</v>
      </c>
      <c r="D97" s="16">
        <v>-2325</v>
      </c>
    </row>
    <row r="98" spans="1:4" x14ac:dyDescent="0.2">
      <c r="A98" s="1" t="s">
        <v>120</v>
      </c>
      <c r="B98" s="16"/>
      <c r="C98" s="16"/>
      <c r="D98" s="10"/>
    </row>
    <row r="99" spans="1:4" x14ac:dyDescent="0.2">
      <c r="A99" s="11" t="s">
        <v>129</v>
      </c>
      <c r="B99" s="10">
        <f>SUM(B92:B98)</f>
        <v>-37601</v>
      </c>
      <c r="C99" s="10">
        <f t="shared" ref="C99:D99" si="12">SUM(C92:C98)</f>
        <v>-58154</v>
      </c>
      <c r="D99" s="10">
        <f t="shared" si="12"/>
        <v>-59611</v>
      </c>
    </row>
    <row r="100" spans="1:4" x14ac:dyDescent="0.2">
      <c r="A100" s="9" t="s">
        <v>130</v>
      </c>
      <c r="B100" s="10"/>
      <c r="C100" s="10"/>
      <c r="D100" s="10"/>
    </row>
    <row r="101" spans="1:4" x14ac:dyDescent="0.2">
      <c r="A101" s="1" t="s">
        <v>131</v>
      </c>
      <c r="B101" s="12"/>
      <c r="C101" s="12"/>
      <c r="D101" s="12"/>
    </row>
    <row r="102" spans="1:4" x14ac:dyDescent="0.2">
      <c r="A102" s="1" t="s">
        <v>132</v>
      </c>
      <c r="B102" s="10"/>
      <c r="C102" s="10"/>
      <c r="D102" s="10"/>
    </row>
    <row r="103" spans="1:4" x14ac:dyDescent="0.2">
      <c r="A103" s="1" t="s">
        <v>133</v>
      </c>
      <c r="B103" s="10">
        <v>-6000</v>
      </c>
      <c r="C103" s="10"/>
      <c r="D103" s="10"/>
    </row>
    <row r="104" spans="1:4" x14ac:dyDescent="0.2">
      <c r="A104" s="1" t="s">
        <v>134</v>
      </c>
      <c r="B104" s="16">
        <v>10525</v>
      </c>
      <c r="C104" s="16">
        <v>19003</v>
      </c>
      <c r="D104" s="16">
        <v>21166</v>
      </c>
    </row>
    <row r="105" spans="1:4" x14ac:dyDescent="0.2">
      <c r="A105" s="1" t="s">
        <v>135</v>
      </c>
      <c r="B105" s="16">
        <v>-1258</v>
      </c>
      <c r="C105" s="16">
        <v>-1590</v>
      </c>
      <c r="D105" s="16">
        <v>-1553</v>
      </c>
    </row>
    <row r="106" spans="1:4" x14ac:dyDescent="0.2">
      <c r="A106" s="1" t="s">
        <v>136</v>
      </c>
      <c r="B106" s="10">
        <f>41553-37554</f>
        <v>3999</v>
      </c>
      <c r="C106" s="10">
        <f>7753-19003</f>
        <v>-11250</v>
      </c>
      <c r="D106" s="10">
        <f>6796-6177</f>
        <v>619</v>
      </c>
    </row>
    <row r="107" spans="1:4" x14ac:dyDescent="0.2">
      <c r="A107" s="1" t="s">
        <v>120</v>
      </c>
      <c r="B107" s="10">
        <f>-1093-7941-248</f>
        <v>-9282</v>
      </c>
      <c r="C107" s="10">
        <f>-364-162-11163</f>
        <v>-11689</v>
      </c>
      <c r="D107" s="10">
        <f>618-53-10642</f>
        <v>-10077</v>
      </c>
    </row>
    <row r="108" spans="1:4" x14ac:dyDescent="0.2">
      <c r="A108" s="11" t="s">
        <v>137</v>
      </c>
      <c r="B108" s="10">
        <f>SUM(B101:B106)</f>
        <v>7266</v>
      </c>
      <c r="C108" s="10">
        <f t="shared" ref="C108:D108" si="13">SUM(C101:C106)</f>
        <v>6163</v>
      </c>
      <c r="D108" s="10">
        <f t="shared" si="13"/>
        <v>20232</v>
      </c>
    </row>
    <row r="109" spans="1:4" x14ac:dyDescent="0.2">
      <c r="A109" s="11" t="s">
        <v>138</v>
      </c>
      <c r="B109" s="10">
        <v>17776</v>
      </c>
      <c r="C109" s="10">
        <v>-5900</v>
      </c>
      <c r="D109" s="10">
        <v>5976</v>
      </c>
    </row>
    <row r="110" spans="1:4" ht="16" thickBot="1" x14ac:dyDescent="0.25">
      <c r="A110" s="13" t="s">
        <v>139</v>
      </c>
      <c r="B110" s="10">
        <f>SUM(B101:B109)</f>
        <v>23026</v>
      </c>
      <c r="C110" s="10">
        <f t="shared" ref="C110:D110" si="14">SUM(C101:C109)</f>
        <v>-5263</v>
      </c>
      <c r="D110" s="10">
        <f t="shared" si="14"/>
        <v>36363</v>
      </c>
    </row>
    <row r="111" spans="1:4" ht="16" thickTop="1" x14ac:dyDescent="0.2">
      <c r="B111" s="12"/>
      <c r="C111" s="12"/>
      <c r="D111" s="12"/>
    </row>
    <row r="112" spans="1:4" x14ac:dyDescent="0.2">
      <c r="A112" t="s">
        <v>140</v>
      </c>
      <c r="B112" s="12"/>
      <c r="C112" s="12"/>
      <c r="D112" s="12"/>
    </row>
    <row r="113" spans="1:4" ht="16" thickBot="1" x14ac:dyDescent="0.25">
      <c r="A113" t="s">
        <v>141</v>
      </c>
      <c r="B113" s="14"/>
      <c r="C113" s="14"/>
      <c r="D113" s="14"/>
    </row>
    <row r="114" spans="1:4" ht="16" thickTop="1" x14ac:dyDescent="0.2">
      <c r="A114" t="s">
        <v>142</v>
      </c>
      <c r="B114" s="10"/>
      <c r="C114" s="10"/>
      <c r="D114" s="10"/>
    </row>
    <row r="115" spans="1:4" x14ac:dyDescent="0.2">
      <c r="B115" s="10"/>
      <c r="C115" s="10"/>
      <c r="D115" s="10"/>
    </row>
    <row r="116" spans="1:4" x14ac:dyDescent="0.2">
      <c r="B116" s="10"/>
      <c r="C116" s="10"/>
      <c r="D116" s="10"/>
    </row>
    <row r="117" spans="1:4" x14ac:dyDescent="0.2">
      <c r="B117" s="10"/>
      <c r="C117" s="10"/>
      <c r="D117" s="10"/>
    </row>
  </sheetData>
  <mergeCells count="6">
    <mergeCell ref="B72:D72"/>
    <mergeCell ref="A2:D2"/>
    <mergeCell ref="B3:D3"/>
    <mergeCell ref="A31:D31"/>
    <mergeCell ref="B32:D32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76"/>
  <sheetViews>
    <sheetView tabSelected="1" zoomScale="94" workbookViewId="0">
      <selection activeCell="D31" sqref="D31"/>
    </sheetView>
  </sheetViews>
  <sheetFormatPr baseColWidth="10" defaultColWidth="8.83203125" defaultRowHeight="15" x14ac:dyDescent="0.2"/>
  <cols>
    <col min="1" max="1" width="4.6640625" customWidth="1"/>
    <col min="2" max="2" width="44.83203125" customWidth="1"/>
    <col min="3" max="3" width="11.1640625" bestFit="1" customWidth="1"/>
    <col min="4" max="5" width="9.5" bestFit="1" customWidth="1"/>
    <col min="6" max="6" width="29.83203125" customWidth="1"/>
  </cols>
  <sheetData>
    <row r="1" spans="1:20" ht="60" customHeight="1" x14ac:dyDescent="0.3">
      <c r="A1" s="7"/>
      <c r="B1" s="20" t="s">
        <v>59</v>
      </c>
      <c r="C1" s="21"/>
      <c r="D1" s="21"/>
      <c r="E1" s="21"/>
      <c r="F1" s="32" t="s">
        <v>169</v>
      </c>
      <c r="G1" s="21"/>
      <c r="H1" s="21"/>
      <c r="I1" s="21"/>
      <c r="J1" s="21"/>
    </row>
    <row r="2" spans="1:20" x14ac:dyDescent="0.2">
      <c r="C2" s="33" t="s">
        <v>60</v>
      </c>
      <c r="D2" s="33"/>
      <c r="E2" s="33"/>
    </row>
    <row r="3" spans="1:20" x14ac:dyDescent="0.2">
      <c r="C3" s="9">
        <v>2022</v>
      </c>
      <c r="D3" s="9">
        <v>2021</v>
      </c>
      <c r="E3" s="9">
        <v>2020</v>
      </c>
    </row>
    <row r="4" spans="1:20" x14ac:dyDescent="0.2">
      <c r="A4" s="22">
        <v>1</v>
      </c>
      <c r="B4" s="9" t="s">
        <v>14</v>
      </c>
    </row>
    <row r="5" spans="1:20" x14ac:dyDescent="0.2">
      <c r="A5" s="22">
        <f>+A4+0.1</f>
        <v>1.1000000000000001</v>
      </c>
      <c r="B5" s="1" t="s">
        <v>15</v>
      </c>
      <c r="C5" s="31">
        <f>'Financial Statements'!B42/'Financial Statements'!B56</f>
        <v>0.9446435811136924</v>
      </c>
      <c r="D5" s="31">
        <f>'Financial Statements'!C42/'Financial Statements'!C56</f>
        <v>1.1357597739445826</v>
      </c>
      <c r="E5" s="31">
        <f>'Financial Statements'!D42/'Financial Statements'!D56</f>
        <v>1.0502274795268425</v>
      </c>
    </row>
    <row r="6" spans="1:20" x14ac:dyDescent="0.2">
      <c r="A6" s="22">
        <f t="shared" ref="A6:A13" si="0">+A5+0.1</f>
        <v>1.2000000000000002</v>
      </c>
      <c r="B6" s="1" t="s">
        <v>16</v>
      </c>
      <c r="C6" s="31">
        <f>('Financial Statements'!B36+'Financial Statements'!B38+'Financial Statements'!B37)/'Financial Statements'!B56</f>
        <v>0.72323721145740161</v>
      </c>
      <c r="D6" s="31">
        <f>('Financial Statements'!C36+'Financial Statements'!C38+'Financial Statements'!C37)/'Financial Statements'!C56</f>
        <v>0.90456609449903702</v>
      </c>
      <c r="E6" s="31">
        <f>('Financial Statements'!D36+'Financial Statements'!D38+'Financial Statements'!D37)/'Financial Statements'!D56</f>
        <v>0.86195355461486722</v>
      </c>
    </row>
    <row r="7" spans="1:20" x14ac:dyDescent="0.2">
      <c r="A7" s="22">
        <f t="shared" si="0"/>
        <v>1.3000000000000003</v>
      </c>
      <c r="B7" s="1" t="s">
        <v>17</v>
      </c>
      <c r="C7" s="31">
        <f>('Financial Statements'!B36)/'Financial Statements'!B56</f>
        <v>0.34678524772673158</v>
      </c>
      <c r="D7" s="31">
        <f>('Financial Statements'!C36)/'Financial Statements'!C56</f>
        <v>0.25459350793583851</v>
      </c>
      <c r="E7" s="31">
        <f>('Financial Statements'!D36)/'Financial Statements'!D56</f>
        <v>0.33328322190133325</v>
      </c>
    </row>
    <row r="8" spans="1:20" x14ac:dyDescent="0.2">
      <c r="A8" s="22">
        <f t="shared" si="0"/>
        <v>1.4000000000000004</v>
      </c>
      <c r="B8" s="1" t="s">
        <v>18</v>
      </c>
      <c r="C8" s="31">
        <f>'Financial Statements'!B42/(('Financial Statements'!B17/'Financial Statements'!$J$6)-'Financial Statements'!B79)</f>
        <v>-3.620322877300004</v>
      </c>
      <c r="D8" s="31">
        <f>'Financial Statements'!C42/(('Financial Statements'!C17/'Financial Statements'!$J$6)-'Financial Statements'!C79)</f>
        <v>-4.8648192517063702</v>
      </c>
      <c r="E8" s="31">
        <f>'Financial Statements'!D42/(('Financial Statements'!D17/'Financial Statements'!$J$6)-'Financial Statements'!D79)</f>
        <v>-5.4882302930546301</v>
      </c>
      <c r="F8" s="37" t="s">
        <v>162</v>
      </c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</row>
    <row r="9" spans="1:20" x14ac:dyDescent="0.2">
      <c r="A9" s="22">
        <f t="shared" si="0"/>
        <v>1.5000000000000004</v>
      </c>
      <c r="B9" s="1" t="s">
        <v>19</v>
      </c>
      <c r="C9" s="31">
        <f>IF(OR(MOD(C3, 4)=0, AND(MOD(C3, 100)&lt;&gt;0, MOD(C3, 400)=0)),('Financial Statements'!B39/'Financial Statements'!B12)*'Financial Statements'!$J$5,('Financial Statements'!B39/'Financial Statements'!B12)*'Financial Statements'!$J$6)</f>
        <v>43.4781065744328</v>
      </c>
      <c r="D9" s="31">
        <f>IF(OR(MOD(D3, 4)=0, AND(MOD(D3, 100)&lt;&gt;0, MOD(D3, 400)=0)),('Financial Statements'!C39/'Financial Statements'!C12)*'Financial Statements'!$J$5,('Financial Statements'!C39/'Financial Statements'!C12)*'Financial Statements'!$J$6)</f>
        <v>44.081070264077781</v>
      </c>
      <c r="E9" s="31">
        <f>IF(OR(MOD(E3, 4)=0, AND(MOD(E3, 100)&lt;&gt;0, MOD(E3, 400)=0)),('Financial Statements'!D39/'Financial Statements'!D12)*'Financial Statements'!$J$5,('Financial Statements'!D39/'Financial Statements'!D12)*'Financial Statements'!$J$6)</f>
        <v>37.328369916033381</v>
      </c>
    </row>
    <row r="10" spans="1:20" x14ac:dyDescent="0.2">
      <c r="A10" s="22">
        <f t="shared" si="0"/>
        <v>1.6000000000000005</v>
      </c>
      <c r="B10" s="1" t="s">
        <v>20</v>
      </c>
      <c r="C10" s="31">
        <f>('Financial Statements'!B39*365)/('Financial Statements'!B12)</f>
        <v>43.4781065744328</v>
      </c>
      <c r="D10" s="31">
        <f>('Financial Statements'!C39*365)/('Financial Statements'!C12)</f>
        <v>44.081070264077781</v>
      </c>
      <c r="E10" s="31">
        <f>('Financial Statements'!D39*365)/('Financial Statements'!D12)</f>
        <v>37.226379834295585</v>
      </c>
      <c r="F10" s="36" t="s">
        <v>163</v>
      </c>
      <c r="G10" s="36"/>
      <c r="H10" s="36"/>
    </row>
    <row r="11" spans="1:20" x14ac:dyDescent="0.2">
      <c r="A11" s="22">
        <f t="shared" si="0"/>
        <v>1.7000000000000006</v>
      </c>
      <c r="B11" s="1" t="s">
        <v>21</v>
      </c>
      <c r="C11" s="31">
        <f>(365*'Financial Statements'!B38)/('Financial Statements'!B8)</f>
        <v>30.081539661817608</v>
      </c>
      <c r="D11" s="31">
        <f>(365*'Financial Statements'!C38)/('Financial Statements'!C8)</f>
        <v>25.357688656555037</v>
      </c>
      <c r="E11" s="31">
        <f>(365*'Financial Statements'!D38)/('Financial Statements'!D8)</f>
        <v>23.202365349647994</v>
      </c>
      <c r="F11" s="36" t="s">
        <v>164</v>
      </c>
      <c r="G11" s="36"/>
      <c r="H11" s="36"/>
      <c r="I11" s="36"/>
    </row>
    <row r="12" spans="1:20" x14ac:dyDescent="0.2">
      <c r="A12" s="22">
        <f t="shared" si="0"/>
        <v>1.8000000000000007</v>
      </c>
      <c r="B12" s="1" t="s">
        <v>22</v>
      </c>
      <c r="C12" s="31">
        <f>(C11+C9)-C10</f>
        <v>30.081539661817615</v>
      </c>
      <c r="D12" s="31">
        <f>(D11+D9)-D10</f>
        <v>25.357688656555041</v>
      </c>
      <c r="E12" s="31">
        <f>(E11+E9)-E10</f>
        <v>23.304355431385787</v>
      </c>
    </row>
    <row r="13" spans="1:20" x14ac:dyDescent="0.2">
      <c r="A13" s="22">
        <f t="shared" si="0"/>
        <v>1.9000000000000008</v>
      </c>
      <c r="B13" s="1" t="s">
        <v>23</v>
      </c>
      <c r="C13" s="31">
        <f>C14/'Financial Statements'!B8*100</f>
        <v>-1.6735962084349094</v>
      </c>
      <c r="D13" s="31">
        <f>D14/'Financial Statements'!C8*100</f>
        <v>4.1109186032156861</v>
      </c>
      <c r="E13" s="31">
        <f>E14/'Financial Statements'!D8*100</f>
        <v>1.644244367660086</v>
      </c>
    </row>
    <row r="14" spans="1:20" x14ac:dyDescent="0.2">
      <c r="A14" s="22"/>
      <c r="B14" s="19" t="s">
        <v>24</v>
      </c>
      <c r="C14" s="25">
        <f>'Financial Statements'!B42-'Financial Statements'!B56</f>
        <v>-8602</v>
      </c>
      <c r="D14" s="25">
        <f>'Financial Statements'!C42-'Financial Statements'!C56</f>
        <v>19314</v>
      </c>
      <c r="E14" s="25">
        <f>'Financial Statements'!D42-'Financial Statements'!D56</f>
        <v>6348</v>
      </c>
    </row>
    <row r="15" spans="1:20" x14ac:dyDescent="0.2">
      <c r="A15" s="22"/>
    </row>
    <row r="16" spans="1:20" x14ac:dyDescent="0.2">
      <c r="A16" s="22">
        <f>+A4+1</f>
        <v>2</v>
      </c>
      <c r="B16" s="23" t="s">
        <v>25</v>
      </c>
    </row>
    <row r="17" spans="1:9" x14ac:dyDescent="0.2">
      <c r="A17" s="22">
        <f>+A16+0.1</f>
        <v>2.1</v>
      </c>
      <c r="B17" s="1" t="s">
        <v>11</v>
      </c>
      <c r="C17" s="29">
        <f>'Financial Statements'!B13*(1/'Financial Statements'!B8)</f>
        <v>0.43805339865326287</v>
      </c>
      <c r="D17" s="29">
        <f>'Financial Statements'!C13*(1/'Financial Statements'!C8)</f>
        <v>0.42032514441639596</v>
      </c>
      <c r="E17" s="29">
        <f>'Financial Statements'!D13*(1/'Financial Statements'!D8)</f>
        <v>0.39569357169868991</v>
      </c>
      <c r="F17" s="36" t="s">
        <v>170</v>
      </c>
      <c r="G17" s="36"/>
      <c r="H17" s="36"/>
    </row>
    <row r="18" spans="1:9" x14ac:dyDescent="0.2">
      <c r="A18" s="22">
        <f>+A17+0.1</f>
        <v>2.2000000000000002</v>
      </c>
      <c r="B18" s="1" t="s">
        <v>26</v>
      </c>
      <c r="C18" s="29">
        <f>(C19/'Financial Statements'!B8)</f>
        <v>-0.45655595613084482</v>
      </c>
      <c r="D18" s="29">
        <f>(D19/'Financial Statements'!C8)</f>
        <v>-0.45343129951343275</v>
      </c>
      <c r="E18" s="29">
        <f>(E19/'Financial Statements'!D8)</f>
        <v>-0.4797474059377218</v>
      </c>
    </row>
    <row r="19" spans="1:9" x14ac:dyDescent="0.2">
      <c r="A19" s="22"/>
      <c r="B19" s="19" t="s">
        <v>27</v>
      </c>
      <c r="C19" s="28">
        <f>'Financial Statements'!B18+'Financial Statements'!B79</f>
        <v>-234662</v>
      </c>
      <c r="D19" s="28">
        <f>'Financial Statements'!C18+'Financial Statements'!C79</f>
        <v>-213032</v>
      </c>
      <c r="E19" s="28">
        <f>'Financial Statements'!D18+'Financial Statements'!D79</f>
        <v>-185218</v>
      </c>
    </row>
    <row r="20" spans="1:9" x14ac:dyDescent="0.2">
      <c r="A20" s="22">
        <f>+A18+0.1</f>
        <v>2.3000000000000003</v>
      </c>
      <c r="B20" s="1" t="s">
        <v>28</v>
      </c>
      <c r="C20" s="35">
        <f>(C21/'Financial Statements'!B8)</f>
        <v>-0.53811701943449497</v>
      </c>
      <c r="D20" s="35">
        <f>(D21/'Financial Statements'!C8)</f>
        <v>-0.52672075807433449</v>
      </c>
      <c r="E20" s="35">
        <f>(E21/'Financial Statements'!D8)</f>
        <v>-0.5449680631174334</v>
      </c>
    </row>
    <row r="21" spans="1:9" x14ac:dyDescent="0.2">
      <c r="A21" s="22"/>
      <c r="B21" s="19" t="s">
        <v>29</v>
      </c>
      <c r="C21" s="25">
        <f>'Financial Statements'!B18</f>
        <v>-276583</v>
      </c>
      <c r="D21" s="25">
        <f>'Financial Statements'!C18</f>
        <v>-247465</v>
      </c>
      <c r="E21" s="25">
        <f>'Financial Statements'!D18</f>
        <v>-210398</v>
      </c>
    </row>
    <row r="22" spans="1:9" x14ac:dyDescent="0.2">
      <c r="A22" s="22">
        <f>+A20+0.1</f>
        <v>2.4000000000000004</v>
      </c>
      <c r="B22" s="1" t="s">
        <v>30</v>
      </c>
      <c r="C22" s="29">
        <f>('Financial Statements'!B22/'Financial Statements'!B8)</f>
        <v>-5.2958950004183018E-3</v>
      </c>
      <c r="D22" s="29">
        <f>('Financial Statements'!C22/'Financial Statements'!C8)</f>
        <v>7.1014128755145567E-2</v>
      </c>
      <c r="E22" s="29">
        <f>('Financial Statements'!D22/'Financial Statements'!D8)</f>
        <v>5.5251065857840724E-2</v>
      </c>
      <c r="F22" s="36" t="s">
        <v>170</v>
      </c>
      <c r="G22" s="36"/>
      <c r="H22" s="36"/>
    </row>
    <row r="23" spans="1:9" x14ac:dyDescent="0.2">
      <c r="A23" s="22"/>
    </row>
    <row r="24" spans="1:9" x14ac:dyDescent="0.2">
      <c r="A24" s="22">
        <f>+A16+1</f>
        <v>3</v>
      </c>
      <c r="B24" s="9" t="s">
        <v>31</v>
      </c>
    </row>
    <row r="25" spans="1:9" x14ac:dyDescent="0.2">
      <c r="A25" s="22">
        <f>+A24+0.1</f>
        <v>3.1</v>
      </c>
      <c r="B25" s="1" t="s">
        <v>32</v>
      </c>
      <c r="C25" s="31">
        <f>'Financial Statements'!B59/'Financial Statements'!B68</f>
        <v>0.45979608745369516</v>
      </c>
      <c r="D25" s="31">
        <f>'Financial Statements'!C59/'Financial Statements'!C68</f>
        <v>0.35259141379435061</v>
      </c>
      <c r="E25" s="31">
        <f>'Financial Statements'!D59/'Financial Statements'!D68</f>
        <v>0.34062781037214679</v>
      </c>
    </row>
    <row r="26" spans="1:9" x14ac:dyDescent="0.2">
      <c r="A26" s="22">
        <f t="shared" ref="A26:A30" si="1">+A25+0.1</f>
        <v>3.2</v>
      </c>
      <c r="B26" s="1" t="s">
        <v>33</v>
      </c>
      <c r="C26" s="31">
        <f>('Financial Statements'!B59)/'Financial Statements'!B48</f>
        <v>0.14513427351812827</v>
      </c>
      <c r="D26" s="31">
        <f>('Financial Statements'!C59)/'Financial Statements'!C48</f>
        <v>0.11590563763081116</v>
      </c>
      <c r="E26" s="31">
        <f>('Financial Statements'!D59)/'Financial Statements'!D48</f>
        <v>9.9055091144009094E-2</v>
      </c>
    </row>
    <row r="27" spans="1:9" x14ac:dyDescent="0.2">
      <c r="A27" s="22">
        <f t="shared" si="1"/>
        <v>3.3000000000000003</v>
      </c>
      <c r="B27" s="1" t="s">
        <v>34</v>
      </c>
      <c r="C27" s="31">
        <f>'Financial Statements'!B59/'Financial Statements'!B68</f>
        <v>0.45979608745369516</v>
      </c>
      <c r="D27" s="31">
        <f>'Financial Statements'!C59/'Financial Statements'!C68</f>
        <v>0.35259141379435061</v>
      </c>
      <c r="E27" s="31">
        <f>'Financial Statements'!D59/'Financial Statements'!D68</f>
        <v>0.34062781037214679</v>
      </c>
    </row>
    <row r="28" spans="1:9" x14ac:dyDescent="0.2">
      <c r="A28" s="22">
        <f t="shared" si="1"/>
        <v>3.4000000000000004</v>
      </c>
      <c r="B28" s="1" t="s">
        <v>35</v>
      </c>
      <c r="C28" s="25" t="e">
        <f>'Financial Statements'!B18/'Financial Statements'!B114</f>
        <v>#DIV/0!</v>
      </c>
      <c r="D28" s="25">
        <f>D19/'Financial Statements'!C19</f>
        <v>-3436</v>
      </c>
      <c r="E28" s="25">
        <f>E19/'Financial Statements'!D19</f>
        <v>2469.5733333333333</v>
      </c>
    </row>
    <row r="29" spans="1:9" x14ac:dyDescent="0.2">
      <c r="A29" s="22">
        <f t="shared" si="1"/>
        <v>3.5000000000000004</v>
      </c>
      <c r="B29" s="1" t="s">
        <v>36</v>
      </c>
      <c r="C29" s="25">
        <f>'Financial Statements'!B18/('Financial Statements'!B106+'Financial Statements'!B114)</f>
        <v>-69.163040760190043</v>
      </c>
      <c r="D29" s="25">
        <f>'Financial Statements'!C18/('Financial Statements'!C106+'Financial Statements'!C114)</f>
        <v>21.99688888888889</v>
      </c>
      <c r="E29" s="25">
        <f>'Financial Statements'!D18/('Financial Statements'!D106+'Financial Statements'!D114)</f>
        <v>-339.89983844911148</v>
      </c>
    </row>
    <row r="30" spans="1:9" x14ac:dyDescent="0.2">
      <c r="A30" s="22">
        <f t="shared" si="1"/>
        <v>3.6000000000000005</v>
      </c>
      <c r="B30" s="1" t="s">
        <v>37</v>
      </c>
      <c r="C30" s="25">
        <f>C31/'Financial Statements'!B28</f>
        <v>1.5982235744430268E-2</v>
      </c>
      <c r="D30" s="25">
        <f>D31/'Financial Statements'!C28</f>
        <v>1.561926961926962E-2</v>
      </c>
      <c r="E30" s="25">
        <f>E31/'Financial Statements'!D28</f>
        <v>1.495881545401059E-2</v>
      </c>
    </row>
    <row r="31" spans="1:9" x14ac:dyDescent="0.2">
      <c r="A31" s="22"/>
      <c r="B31" s="19" t="s">
        <v>38</v>
      </c>
      <c r="C31" s="28">
        <f>'Financial Statements'!B91-('Financial Statements'!B96-'Financial Statements'!B79)+'Financial Statements'!B104</f>
        <v>162843</v>
      </c>
      <c r="D31" s="28">
        <f>'Financial Statements'!C91-('Financial Statements'!C96-'Financial Statements'!C79)+'Financial Statements'!C104</f>
        <v>160816</v>
      </c>
      <c r="E31" s="28">
        <f>'Financial Statements'!D91-('Financial Statements'!D96-'Financial Statements'!D79)+'Financial Statements'!D104</f>
        <v>152550</v>
      </c>
      <c r="F31" s="37" t="s">
        <v>165</v>
      </c>
      <c r="G31" s="36"/>
      <c r="H31" s="36"/>
      <c r="I31" s="36"/>
    </row>
    <row r="32" spans="1:9" x14ac:dyDescent="0.2">
      <c r="A32" s="22"/>
    </row>
    <row r="33" spans="1:6" x14ac:dyDescent="0.2">
      <c r="A33" s="22">
        <f>+A24+1</f>
        <v>4</v>
      </c>
      <c r="B33" s="23" t="s">
        <v>39</v>
      </c>
    </row>
    <row r="34" spans="1:6" x14ac:dyDescent="0.2">
      <c r="A34" s="22">
        <f>+A33+0.1</f>
        <v>4.0999999999999996</v>
      </c>
      <c r="B34" s="1" t="s">
        <v>40</v>
      </c>
      <c r="C34" s="31">
        <f>'Financial Statements'!B8/'Financial Statements'!B48</f>
        <v>1.1108942562273734</v>
      </c>
      <c r="D34" s="31">
        <f>'Financial Statements'!C8/'Financial Statements'!C48</f>
        <v>1.1171635172120253</v>
      </c>
      <c r="E34" s="31">
        <f>'Financial Statements'!D8/'Financial Statements'!D48</f>
        <v>1.2019925590373448</v>
      </c>
    </row>
    <row r="35" spans="1:6" x14ac:dyDescent="0.2">
      <c r="A35" s="22">
        <f t="shared" ref="A35:A37" si="2">+A34+0.1</f>
        <v>4.1999999999999993</v>
      </c>
      <c r="B35" s="1" t="s">
        <v>41</v>
      </c>
      <c r="C35" s="31">
        <f>'Financial Statements'!B8/'Financial Statements'!B45</f>
        <v>2.7527675869640897</v>
      </c>
      <c r="D35" s="31">
        <f>'Financial Statements'!C8/'Financial Statements'!C45</f>
        <v>2.9312395106094922</v>
      </c>
      <c r="E35" s="31">
        <f>'Financial Statements'!D8/'Financial Statements'!D45</f>
        <v>3.4131407252859947</v>
      </c>
    </row>
    <row r="36" spans="1:6" x14ac:dyDescent="0.2">
      <c r="A36" s="22">
        <f t="shared" si="2"/>
        <v>4.2999999999999989</v>
      </c>
      <c r="B36" s="1" t="s">
        <v>42</v>
      </c>
      <c r="C36" s="31">
        <f>'Financial Statements'!B8</f>
        <v>513983</v>
      </c>
      <c r="D36" s="31">
        <f>'Financial Statements'!C8</f>
        <v>469822</v>
      </c>
      <c r="E36" s="31">
        <f>'Financial Statements'!D8</f>
        <v>386074</v>
      </c>
      <c r="F36" s="36" t="s">
        <v>166</v>
      </c>
    </row>
    <row r="37" spans="1:6" x14ac:dyDescent="0.2">
      <c r="A37" s="22">
        <f t="shared" si="2"/>
        <v>4.3999999999999986</v>
      </c>
      <c r="B37" s="1" t="s">
        <v>43</v>
      </c>
      <c r="C37" s="31">
        <f>'Financial Statements'!B22/'Financial Statements'!B48</f>
        <v>-5.8831793375479545E-3</v>
      </c>
      <c r="D37" s="31">
        <f>'Financial Statements'!C22/'Financial Statements'!C48</f>
        <v>7.9334393851846041E-2</v>
      </c>
      <c r="E37" s="31">
        <f>'Financial Statements'!D22/'Financial Statements'!D48</f>
        <v>6.6411370040006856E-2</v>
      </c>
    </row>
    <row r="38" spans="1:6" x14ac:dyDescent="0.2">
      <c r="A38" s="22"/>
    </row>
    <row r="39" spans="1:6" x14ac:dyDescent="0.2">
      <c r="A39" s="22">
        <f>+A33+1</f>
        <v>5</v>
      </c>
      <c r="B39" s="23" t="s">
        <v>44</v>
      </c>
    </row>
    <row r="40" spans="1:6" x14ac:dyDescent="0.2">
      <c r="A40" s="22">
        <f>+A39+0.1</f>
        <v>5.0999999999999996</v>
      </c>
      <c r="B40" s="1" t="s">
        <v>45</v>
      </c>
      <c r="C40" s="31">
        <f>'Financial Statements'!B29/'List of Ratios'!C41</f>
        <v>-603.14814814814804</v>
      </c>
      <c r="D40" s="31">
        <f>'Financial Statements'!C29/'List of Ratios'!D41</f>
        <v>51.456790123456784</v>
      </c>
      <c r="E40" s="31">
        <f>'Financial Statements'!D29/'List of Ratios'!E41</f>
        <v>40.191387559808618</v>
      </c>
    </row>
    <row r="41" spans="1:6" x14ac:dyDescent="0.2">
      <c r="A41" s="22">
        <f t="shared" ref="A41:A44" si="3">+A40+0.1</f>
        <v>5.1999999999999993</v>
      </c>
      <c r="B41" s="19" t="s">
        <v>46</v>
      </c>
      <c r="C41" s="25">
        <f>'Financial Statements'!B25</f>
        <v>-0.27</v>
      </c>
      <c r="D41" s="25">
        <f>'Financial Statements'!C25</f>
        <v>3.24</v>
      </c>
      <c r="E41" s="25">
        <f>'Financial Statements'!D25</f>
        <v>2.09</v>
      </c>
    </row>
    <row r="42" spans="1:6" x14ac:dyDescent="0.2">
      <c r="A42" s="22">
        <f t="shared" si="3"/>
        <v>5.2999999999999989</v>
      </c>
      <c r="B42" s="1" t="s">
        <v>47</v>
      </c>
      <c r="C42" s="25">
        <f>'Financial Statements'!B27/'Financial Statements'!B65</f>
        <v>94342.592592592599</v>
      </c>
      <c r="D42" s="25">
        <f>'Financial Statements'!C27/'Financial Statements'!C65</f>
        <v>95443.39622641509</v>
      </c>
      <c r="E42" s="25">
        <f>'Financial Statements'!D27/'Financial Statements'!D65</f>
        <v>2001000</v>
      </c>
    </row>
    <row r="43" spans="1:6" x14ac:dyDescent="0.2">
      <c r="A43" s="22">
        <f t="shared" si="3"/>
        <v>5.3999999999999986</v>
      </c>
      <c r="B43" s="19" t="s">
        <v>48</v>
      </c>
      <c r="C43" s="25">
        <f>('Financial Statements'!B68/'Financial Statements'!B28)</f>
        <v>1.4333398763372264E-2</v>
      </c>
      <c r="D43" s="25">
        <f>('Financial Statements'!C68/'Financial Statements'!C28)</f>
        <v>1.3427059052059051E-2</v>
      </c>
      <c r="E43" s="25">
        <f>('Financial Statements'!D68/'Financial Statements'!D28)</f>
        <v>9.1590507942733868E-3</v>
      </c>
      <c r="F43" s="36" t="s">
        <v>167</v>
      </c>
    </row>
    <row r="44" spans="1:6" x14ac:dyDescent="0.2">
      <c r="A44" s="22">
        <f t="shared" si="3"/>
        <v>5.4999999999999982</v>
      </c>
      <c r="B44" s="1" t="s">
        <v>49</v>
      </c>
      <c r="C44" s="25">
        <f>-'Financial Statements'!B102/'Financial Statements'!B22</f>
        <v>0</v>
      </c>
      <c r="D44" s="25">
        <f>-'Financial Statements'!C102/'Financial Statements'!C22</f>
        <v>0</v>
      </c>
      <c r="E44" s="25">
        <f>-'Financial Statements'!D102/'Financial Statements'!D22</f>
        <v>0</v>
      </c>
    </row>
    <row r="45" spans="1:6" x14ac:dyDescent="0.2">
      <c r="A45" s="22"/>
      <c r="B45" s="19" t="s">
        <v>50</v>
      </c>
      <c r="C45" s="25">
        <f>C41*C44</f>
        <v>0</v>
      </c>
      <c r="D45" s="25">
        <f>D41*D44</f>
        <v>0</v>
      </c>
      <c r="E45" s="25">
        <f>E41*E44</f>
        <v>0</v>
      </c>
    </row>
    <row r="46" spans="1:6" x14ac:dyDescent="0.2">
      <c r="A46" s="22">
        <f>+A44+0.1</f>
        <v>5.5999999999999979</v>
      </c>
      <c r="B46" s="1" t="s">
        <v>51</v>
      </c>
      <c r="C46" s="25">
        <f>C45/'Financial Statements'!B29</f>
        <v>0</v>
      </c>
      <c r="D46" s="25">
        <f>D45/'Financial Statements'!C29</f>
        <v>0</v>
      </c>
      <c r="E46" s="25">
        <f>E45/'Financial Statements'!D29</f>
        <v>0</v>
      </c>
    </row>
    <row r="47" spans="1:6" x14ac:dyDescent="0.2">
      <c r="A47" s="22">
        <f t="shared" ref="A47:A50" si="4">+A45+0.1</f>
        <v>0.1</v>
      </c>
      <c r="B47" s="1" t="s">
        <v>52</v>
      </c>
      <c r="C47" s="31">
        <f>'Financial Statements'!B22/'Financial Statements'!B68</f>
        <v>-1.8638346240490815E-2</v>
      </c>
      <c r="D47" s="31">
        <f>'Financial Statements'!C22/'Financial Statements'!C68</f>
        <v>0.2413396506202756</v>
      </c>
      <c r="E47" s="31">
        <f>'Financial Statements'!D22/'Financial Statements'!D68</f>
        <v>0.22837351719412444</v>
      </c>
    </row>
    <row r="48" spans="1:6" x14ac:dyDescent="0.2">
      <c r="A48" s="22">
        <f t="shared" si="4"/>
        <v>5.6999999999999975</v>
      </c>
      <c r="B48" s="1" t="s">
        <v>53</v>
      </c>
      <c r="C48" s="31">
        <f>('Financial Statements'!B18/('Financial Statements'!B68-'Financial Statements'!B55))</f>
        <v>-1.8938463329293427</v>
      </c>
      <c r="D48" s="31">
        <f>('Financial Statements'!C18/('Financial Statements'!C68-'Financial Statements'!C55))</f>
        <v>-1.7900466562986004</v>
      </c>
      <c r="E48" s="31">
        <f>('Financial Statements'!D18/('Financial Statements'!D68-'Financial Statements'!D55))</f>
        <v>-2.2525587769260418</v>
      </c>
    </row>
    <row r="49" spans="1:6" x14ac:dyDescent="0.2">
      <c r="A49" s="22">
        <f t="shared" si="4"/>
        <v>0.2</v>
      </c>
      <c r="B49" s="1" t="s">
        <v>43</v>
      </c>
      <c r="C49" s="31">
        <f>'Financial Statements'!B22/'Financial Statements'!B48*100</f>
        <v>-0.58831793375479546</v>
      </c>
      <c r="D49" s="31">
        <f>'Financial Statements'!C22/'Financial Statements'!C48*100</f>
        <v>7.9334393851846041</v>
      </c>
      <c r="E49" s="31">
        <f>'Financial Statements'!D22/'Financial Statements'!D48*100</f>
        <v>6.6411370040006856</v>
      </c>
    </row>
    <row r="50" spans="1:6" x14ac:dyDescent="0.2">
      <c r="A50" s="22">
        <f t="shared" si="4"/>
        <v>5.7999999999999972</v>
      </c>
      <c r="B50" s="1" t="s">
        <v>54</v>
      </c>
      <c r="C50" s="25">
        <f>C51/'Financial Statements'!B13</f>
        <v>7369.7891824189883</v>
      </c>
      <c r="D50" s="25">
        <f>D51/'Financial Statements'!C13</f>
        <v>8692.6296954597474</v>
      </c>
      <c r="E50" s="25">
        <f>E51/'Financial Statements'!D13</f>
        <v>5607.411633402502</v>
      </c>
    </row>
    <row r="51" spans="1:6" x14ac:dyDescent="0.2">
      <c r="A51" s="22"/>
      <c r="B51" s="19" t="s">
        <v>55</v>
      </c>
      <c r="C51" s="25">
        <f>(('Financial Statements'!B28*'Financial Statements'!B29))+'Financial Statements'!B59-'Financial Statements'!B110</f>
        <v>1659322774</v>
      </c>
      <c r="D51" s="25">
        <f>(('Financial Statements'!C28*'Financial Statements'!C29))+'Financial Statements'!C59-'Financial Statements'!C110</f>
        <v>1716603127</v>
      </c>
      <c r="E51" s="25">
        <f>(('Financial Statements'!D28*'Financial Statements'!D29))+'Financial Statements'!D59-'Financial Statements'!D110</f>
        <v>856627453</v>
      </c>
      <c r="F51" s="36" t="s">
        <v>168</v>
      </c>
    </row>
    <row r="53" spans="1:6" x14ac:dyDescent="0.2">
      <c r="A53" s="25">
        <v>6</v>
      </c>
      <c r="B53" s="26" t="s">
        <v>143</v>
      </c>
    </row>
    <row r="54" spans="1:6" x14ac:dyDescent="0.2">
      <c r="A54" s="25">
        <v>6.1</v>
      </c>
      <c r="B54" s="25" t="s">
        <v>144</v>
      </c>
      <c r="C54" s="29">
        <f>'Financial Statements'!B6/'Financial Statements'!B$8</f>
        <v>0.47258566917582878</v>
      </c>
      <c r="D54" s="29">
        <f>'Financial Statements'!C6/'Financial Statements'!C$8</f>
        <v>0.51463532997603345</v>
      </c>
      <c r="E54" s="29">
        <f>'Financial Statements'!D6/'Financial Statements'!D$8</f>
        <v>0.55928397146661002</v>
      </c>
    </row>
    <row r="55" spans="1:6" x14ac:dyDescent="0.2">
      <c r="A55" s="25">
        <v>6.2</v>
      </c>
      <c r="B55" s="25" t="s">
        <v>145</v>
      </c>
      <c r="C55" s="29">
        <f>'Financial Statements'!B7/'Financial Statements'!B$8</f>
        <v>0.52741433082417122</v>
      </c>
      <c r="D55" s="29">
        <f>'Financial Statements'!C7/'Financial Statements'!C$8</f>
        <v>0.48536467002396655</v>
      </c>
      <c r="E55" s="29">
        <f>'Financial Statements'!D7/'Financial Statements'!D$8</f>
        <v>0.44071602853338998</v>
      </c>
    </row>
    <row r="56" spans="1:6" x14ac:dyDescent="0.2">
      <c r="A56" s="25">
        <v>6.3</v>
      </c>
      <c r="B56" s="25" t="s">
        <v>146</v>
      </c>
      <c r="C56" s="30"/>
      <c r="D56" s="30"/>
      <c r="E56" s="30"/>
    </row>
    <row r="57" spans="1:6" x14ac:dyDescent="0.2">
      <c r="A57" s="25">
        <v>6.4</v>
      </c>
      <c r="B57" s="25" t="s">
        <v>147</v>
      </c>
      <c r="C57" s="29">
        <f>('Financial Statements'!B13)/('Financial Statements'!B$8)</f>
        <v>0.43805339865326287</v>
      </c>
      <c r="D57" s="29">
        <f>('Financial Statements'!C13)/('Financial Statements'!C$8)</f>
        <v>0.42032514441639601</v>
      </c>
      <c r="E57" s="29">
        <f>('Financial Statements'!D13)/('Financial Statements'!D$8)</f>
        <v>0.39569357169868991</v>
      </c>
    </row>
    <row r="58" spans="1:6" x14ac:dyDescent="0.2">
      <c r="A58" s="25">
        <v>6.5</v>
      </c>
      <c r="B58" s="25" t="s">
        <v>148</v>
      </c>
      <c r="C58" s="29">
        <f>'Financial Statements'!B15/'Financial Statements'!B$8</f>
        <v>0.14244245432241923</v>
      </c>
      <c r="D58" s="29">
        <f>'Financial Statements'!C15/'Financial Statements'!C$8</f>
        <v>0.11930475797216818</v>
      </c>
      <c r="E58" s="29">
        <f>'Financial Statements'!D15/'Financial Statements'!D$8</f>
        <v>0.11070416552267182</v>
      </c>
    </row>
    <row r="59" spans="1:6" x14ac:dyDescent="0.2">
      <c r="A59" s="25">
        <v>6.6</v>
      </c>
      <c r="B59" s="25" t="s">
        <v>149</v>
      </c>
      <c r="C59" s="29">
        <f>'Financial Statements'!B16/'Financial Statements'!B$8</f>
        <v>0.26932408270312441</v>
      </c>
      <c r="D59" s="29">
        <f>'Financial Statements'!C16/'Financial Statements'!C$8</f>
        <v>0.24793432406315583</v>
      </c>
      <c r="E59" s="29">
        <f>'Financial Statements'!D16/'Financial Statements'!D$8</f>
        <v>0.22584530426809368</v>
      </c>
    </row>
    <row r="60" spans="1:6" x14ac:dyDescent="0.2">
      <c r="A60" s="25">
        <v>6.7</v>
      </c>
      <c r="B60" s="25" t="s">
        <v>150</v>
      </c>
      <c r="C60" s="29">
        <f>'Financial Statements'!B18/'Financial Statements'!B$8</f>
        <v>-0.53811701943449497</v>
      </c>
      <c r="D60" s="29">
        <f>'Financial Statements'!C18/'Financial Statements'!C$8</f>
        <v>-0.52672075807433449</v>
      </c>
      <c r="E60" s="29">
        <f>'Financial Statements'!D18/'Financial Statements'!D$8</f>
        <v>-0.5449680631174334</v>
      </c>
    </row>
    <row r="61" spans="1:6" x14ac:dyDescent="0.2">
      <c r="A61" s="25">
        <v>6.8</v>
      </c>
      <c r="B61" s="25" t="s">
        <v>151</v>
      </c>
      <c r="C61" s="29">
        <f>'Financial Statements'!B22/'Financial Statements'!B$8</f>
        <v>-5.2958950004183018E-3</v>
      </c>
      <c r="D61" s="29">
        <f>'Financial Statements'!C22/'Financial Statements'!C$8</f>
        <v>7.1014128755145567E-2</v>
      </c>
      <c r="E61" s="29">
        <f>'Financial Statements'!D22/'Financial Statements'!D$8</f>
        <v>5.5251065857840724E-2</v>
      </c>
    </row>
    <row r="62" spans="1:6" x14ac:dyDescent="0.2">
      <c r="C62" s="30"/>
      <c r="D62" s="30"/>
      <c r="E62" s="30"/>
    </row>
    <row r="63" spans="1:6" x14ac:dyDescent="0.2">
      <c r="A63" s="25">
        <v>7</v>
      </c>
      <c r="B63" s="25" t="s">
        <v>152</v>
      </c>
      <c r="C63" s="29">
        <f>'Financial Statements'!B21/'Financial Statements'!B20</f>
        <v>-0.54194743935309975</v>
      </c>
      <c r="D63" s="29">
        <f>'Financial Statements'!C21/'Financial Statements'!C20</f>
        <v>-0.12557993237398757</v>
      </c>
      <c r="E63" s="29">
        <f>'Financial Statements'!D21/'Financial Statements'!D20</f>
        <v>-0.1184134337000579</v>
      </c>
    </row>
    <row r="64" spans="1:6" x14ac:dyDescent="0.2">
      <c r="A64" s="25">
        <v>8</v>
      </c>
      <c r="B64" s="25" t="s">
        <v>153</v>
      </c>
      <c r="C64" s="29">
        <f>ABS('Financial Statements'!B96)/'Financial Statements'!B$8</f>
        <v>0.12382705264571008</v>
      </c>
      <c r="D64" s="29">
        <f>ABS('Financial Statements'!C96)/'Financial Statements'!C$8</f>
        <v>0.12994921480901278</v>
      </c>
      <c r="E64" s="29">
        <f>ABS('Financial Statements'!D96)/'Financial Statements'!D$8</f>
        <v>0.1039697052896595</v>
      </c>
    </row>
    <row r="65" spans="1:5" x14ac:dyDescent="0.2">
      <c r="A65" s="25">
        <v>9</v>
      </c>
      <c r="B65" s="25" t="s">
        <v>154</v>
      </c>
      <c r="C65" s="29">
        <f>ABS('Financial Statements'!B96)/'Financial Statements'!B$45</f>
        <v>0.34086709691240663</v>
      </c>
      <c r="D65" s="29">
        <f>ABS('Financial Statements'!C96)/'Financial Statements'!C$45</f>
        <v>0.38091227282085838</v>
      </c>
      <c r="E65" s="29">
        <f>ABS('Financial Statements'!D96)/'Financial Statements'!D$45</f>
        <v>0.35486323532011954</v>
      </c>
    </row>
    <row r="67" spans="1:5" x14ac:dyDescent="0.2">
      <c r="A67" s="25">
        <v>10</v>
      </c>
      <c r="B67" s="26" t="s">
        <v>155</v>
      </c>
    </row>
    <row r="68" spans="1:5" x14ac:dyDescent="0.2">
      <c r="A68" s="25">
        <v>10.1</v>
      </c>
      <c r="B68" s="25" t="s">
        <v>144</v>
      </c>
      <c r="C68" s="29">
        <f>('Financial Statements'!B6-'Financial Statements'!C6)/'Financial Statements'!C6</f>
        <v>4.6073610243726913E-3</v>
      </c>
      <c r="D68" s="29">
        <f>('Financial Statements'!C6-'Financial Statements'!D6)/'Financial Statements'!D6</f>
        <v>0.11977306935278453</v>
      </c>
      <c r="E68" s="25" t="s">
        <v>156</v>
      </c>
    </row>
    <row r="69" spans="1:5" x14ac:dyDescent="0.2">
      <c r="A69" s="25">
        <v>10.199999999999999</v>
      </c>
      <c r="B69" s="25" t="s">
        <v>145</v>
      </c>
      <c r="C69" s="29">
        <f>('Financial Statements'!B7-'Financial Statements'!C7)/'Financial Statements'!C7</f>
        <v>0.18877365316727696</v>
      </c>
      <c r="D69" s="29">
        <f>('Financial Statements'!C7-'Financial Statements'!D7)/'Financial Statements'!D7</f>
        <v>0.34020770030972852</v>
      </c>
      <c r="E69" s="25" t="s">
        <v>156</v>
      </c>
    </row>
    <row r="70" spans="1:5" x14ac:dyDescent="0.2">
      <c r="A70" s="25">
        <v>10.3</v>
      </c>
      <c r="B70" s="25" t="s">
        <v>146</v>
      </c>
      <c r="C70" s="29">
        <f>('Financial Statements'!B8-'Financial Statements'!C8)/'Financial Statements'!C8</f>
        <v>9.3995172639850841E-2</v>
      </c>
      <c r="D70" s="29">
        <f>('Financial Statements'!C8-'Financial Statements'!D8)/'Financial Statements'!D8</f>
        <v>0.21692214445935235</v>
      </c>
      <c r="E70" s="25" t="s">
        <v>156</v>
      </c>
    </row>
    <row r="71" spans="1:5" x14ac:dyDescent="0.2">
      <c r="A71" s="25">
        <v>10.4</v>
      </c>
      <c r="B71" s="25" t="s">
        <v>147</v>
      </c>
      <c r="C71" s="29">
        <f>('Financial Statements'!B13-'Financial Statements'!C13)/'Financial Statements'!C13</f>
        <v>0.14013712919920193</v>
      </c>
      <c r="D71" s="29">
        <f>('Financial Statements'!C13-'Financial Statements'!D13)/'Financial Statements'!D13</f>
        <v>0.2926744650349879</v>
      </c>
      <c r="E71" s="25" t="s">
        <v>156</v>
      </c>
    </row>
    <row r="72" spans="1:5" x14ac:dyDescent="0.2">
      <c r="A72" s="25">
        <v>10.5</v>
      </c>
      <c r="B72" s="25" t="s">
        <v>148</v>
      </c>
      <c r="C72" s="29">
        <f>('Financial Statements'!B15-'Financial Statements'!C15)/'Financial Statements'!C15</f>
        <v>0.3061621351602084</v>
      </c>
      <c r="D72" s="29">
        <f>('Financial Statements'!C15-'Financial Statements'!D15)/'Financial Statements'!D15</f>
        <v>0.31146467009826861</v>
      </c>
      <c r="E72" s="25" t="s">
        <v>156</v>
      </c>
    </row>
    <row r="73" spans="1:5" x14ac:dyDescent="0.2">
      <c r="A73" s="25">
        <v>10.6</v>
      </c>
      <c r="B73" s="25" t="s">
        <v>149</v>
      </c>
      <c r="C73" s="29">
        <f>('Financial Statements'!B16-'Financial Statements'!C16)/'Financial Statements'!C16</f>
        <v>0.18837618577499249</v>
      </c>
      <c r="D73" s="29">
        <f>('Financial Statements'!C16-'Financial Statements'!D16)/'Financial Statements'!D16</f>
        <v>0.33594439920635832</v>
      </c>
      <c r="E73" s="25" t="s">
        <v>156</v>
      </c>
    </row>
    <row r="74" spans="1:5" x14ac:dyDescent="0.2">
      <c r="A74" s="25">
        <v>10.7</v>
      </c>
      <c r="B74" s="25" t="s">
        <v>157</v>
      </c>
      <c r="C74" s="29">
        <f>('Financial Statements'!B48-'Financial Statements'!C48)/'Financial Statements'!C48</f>
        <v>0.10016906472254125</v>
      </c>
      <c r="D74" s="29">
        <f>('Financial Statements'!C48-'Financial Statements'!D48)/'Financial Statements'!D48</f>
        <v>0.30932611030682294</v>
      </c>
      <c r="E74" s="25" t="s">
        <v>156</v>
      </c>
    </row>
    <row r="75" spans="1:5" x14ac:dyDescent="0.2">
      <c r="A75" s="25">
        <v>10.8</v>
      </c>
      <c r="B75" s="25" t="s">
        <v>158</v>
      </c>
      <c r="C75" s="29">
        <f>('Financial Statements'!B62-'Financial Statements'!C62)/'Financial Statements'!C62</f>
        <v>0.11806040025888227</v>
      </c>
      <c r="D75" s="29">
        <f>('Financial Statements'!C62-'Financial Statements'!D62)/'Financial Statements'!D62</f>
        <v>0.18340666372681969</v>
      </c>
      <c r="E75" s="25" t="s">
        <v>156</v>
      </c>
    </row>
    <row r="76" spans="1:5" x14ac:dyDescent="0.2">
      <c r="A76" s="25">
        <v>10.9</v>
      </c>
      <c r="B76" s="25" t="s">
        <v>159</v>
      </c>
      <c r="C76" s="29">
        <f>('Financial Statements'!B68-'Financial Statements'!C68)/'Financial Statements'!C68</f>
        <v>5.6407103331042714E-2</v>
      </c>
      <c r="D76" s="29">
        <f>('Financial Statements'!C68-'Financial Statements'!D68)/'Financial Statements'!D68</f>
        <v>0.48007579975161663</v>
      </c>
      <c r="E76" s="25" t="s">
        <v>156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</vt:vector>
  </HeadingPairs>
  <TitlesOfParts>
    <vt:vector size="4" baseType="lpstr">
      <vt:lpstr>Instructions</vt:lpstr>
      <vt:lpstr>Financial Statements</vt:lpstr>
      <vt:lpstr>List of Ratios</vt:lpstr>
      <vt:lpstr>Charts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Microsoft Office User</cp:lastModifiedBy>
  <dcterms:created xsi:type="dcterms:W3CDTF">2020-05-19T16:15:53Z</dcterms:created>
  <dcterms:modified xsi:type="dcterms:W3CDTF">2023-08-20T17:34:21Z</dcterms:modified>
</cp:coreProperties>
</file>