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1629E7D7-814E-448F-802F-0E75C23DF75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D67" i="3" l="1"/>
  <c r="E67" i="3"/>
  <c r="C67" i="3"/>
  <c r="D63" i="3"/>
  <c r="E63" i="3"/>
  <c r="C63" i="3"/>
  <c r="D59" i="3"/>
  <c r="E59" i="3"/>
  <c r="C59" i="3"/>
  <c r="D66" i="3"/>
  <c r="E66" i="3"/>
  <c r="C66" i="3"/>
  <c r="E29" i="3"/>
  <c r="D29" i="3"/>
  <c r="C29" i="3"/>
  <c r="E27" i="3"/>
  <c r="D27" i="3"/>
  <c r="C27" i="3"/>
  <c r="D60" i="3"/>
  <c r="E60" i="3"/>
  <c r="C60" i="3"/>
  <c r="D62" i="3"/>
  <c r="E62" i="3"/>
  <c r="C62" i="3"/>
  <c r="D55" i="3"/>
  <c r="E55" i="3"/>
  <c r="C55" i="3"/>
  <c r="D44" i="3"/>
  <c r="E44" i="3"/>
  <c r="C44" i="3"/>
  <c r="B108" i="1"/>
  <c r="D47" i="3"/>
  <c r="E47" i="3"/>
  <c r="D48" i="3"/>
  <c r="E48" i="3"/>
  <c r="C47" i="3"/>
  <c r="D49" i="3"/>
  <c r="E49" i="3"/>
  <c r="C49" i="3"/>
  <c r="C37" i="3"/>
  <c r="D37" i="3"/>
  <c r="E37" i="3"/>
  <c r="D26" i="3"/>
  <c r="E26" i="3"/>
  <c r="C26" i="3"/>
  <c r="D25" i="3"/>
  <c r="E25" i="3"/>
  <c r="C25" i="3"/>
  <c r="E28" i="3"/>
  <c r="D28" i="3"/>
  <c r="C28" i="3"/>
  <c r="D19" i="3"/>
  <c r="E19" i="3"/>
  <c r="C19" i="3"/>
  <c r="C18" i="3" s="1"/>
  <c r="D21" i="3"/>
  <c r="E21" i="3"/>
  <c r="C21" i="3"/>
  <c r="D14" i="3"/>
  <c r="E14" i="3"/>
  <c r="C14" i="3"/>
  <c r="D12" i="3"/>
  <c r="E12" i="3"/>
  <c r="C12" i="3"/>
  <c r="D11" i="3"/>
  <c r="E11" i="3"/>
  <c r="C11" i="3"/>
  <c r="C17" i="3"/>
  <c r="D17" i="3"/>
  <c r="E17" i="3"/>
  <c r="L47" i="3" a="1"/>
  <c r="L47" i="3" s="1"/>
  <c r="K49" i="3"/>
  <c r="D41" i="3"/>
  <c r="E41" i="3"/>
  <c r="C41" i="3"/>
  <c r="E40" i="3"/>
  <c r="D40" i="3"/>
  <c r="C40" i="3"/>
  <c r="D20" i="3"/>
  <c r="E20" i="3"/>
  <c r="C20" i="3"/>
  <c r="D18" i="3"/>
  <c r="E18" i="3"/>
  <c r="D22" i="3"/>
  <c r="E22" i="3"/>
  <c r="C22" i="3"/>
  <c r="C48" i="3"/>
  <c r="O48" i="3"/>
  <c r="P48" i="3"/>
  <c r="N48" i="3"/>
  <c r="L48" i="3"/>
  <c r="M48" i="3"/>
  <c r="K48" i="3"/>
  <c r="D36" i="3"/>
  <c r="E36" i="3"/>
  <c r="C36" i="3"/>
  <c r="D9" i="3"/>
  <c r="E9" i="3"/>
  <c r="C9" i="3"/>
  <c r="D35" i="3"/>
  <c r="E35" i="3"/>
  <c r="C35" i="3"/>
  <c r="D34" i="3"/>
  <c r="E34" i="3"/>
  <c r="C34" i="3"/>
  <c r="D10" i="3"/>
  <c r="C10" i="3"/>
  <c r="K8" i="3"/>
  <c r="L8" i="3"/>
  <c r="D8" i="3" s="1"/>
  <c r="M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<sst xmlns="http://schemas.openxmlformats.org/spreadsheetml/2006/main" count="205" uniqueCount="170">
  <si>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</si>
  <si>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</si>
  <si>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</si>
  <si>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</si>
  <si>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</si>
  <si>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</si>
  <si>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</si>
  <si>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</si>
  <si>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</si>
  <si>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</si>
  <si>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</si>
  <si>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</si>
  <si>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</si>
  <si>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</si>
  <si>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</si>
  <si>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</si>
  <si>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</si>
  <si>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</si>
  <si>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</si>
  <si>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</si>
  <si>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</si>
  <si>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</si>
  <si>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</si>
  <si>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</si>
  <si>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</si>
  <si>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</si>
  <si>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</si>
  <si>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</si>
  <si>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</si>
  <si>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</si>
  <si>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</si>
  <si>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</si>
  <si>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</si>
  <si>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</si>
  <si>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</si>
  <si>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</si>
  <si>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</si>
  <si>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</si>
  <si>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</si>
  <si>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</si>
  <si>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</si>
  <si>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</si>
  <si>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</si>
  <si>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</si>
  <si>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</si>
  <si>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</si>
  <si>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</si>
  <si>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</si>
  <si>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</si>
  <si>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</si>
  <si>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</si>
  <si>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</si>
  <si>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</si>
  <si>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</si>
  <si>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</si>
  <si>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</si>
  <si>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</si>
  <si>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</si>
  <si>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</si>
  <si>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</si>
  <si>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</si>
  <si>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</si>
  <si>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</si>
  <si>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</si>
  <si>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</si>
  <si>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</si>
  <si>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</si>
  <si>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</si>
  <si>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</si>
  <si>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</si>
  <si>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</si>
  <si>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</si>
  <si>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</si>
  <si>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</si>
  <si>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</si>
  <si>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</si>
  <si>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</si>
  <si>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</si>
  <si>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</si>
  <si>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</si>
  <si>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</si>
  <si>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</si>
  <si>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</si>
  <si>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</si>
  <si>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</si>
  <si>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</si>
  <si>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</si>
  <si>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</si>
  <si>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</si>
  <si>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</si>
  <si>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</si>
  <si>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</si>
  <si>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</si>
  <si>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</si>
  <si>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</si>
  <si>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</si>
  <si>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</si>
  <si>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</si>
  <si>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</si>
  <si>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</si>
  <si>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</si>
  <si>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</si>
  <si>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</si>
  <si>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</si>
  <si>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</si>
  <si>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</si>
  <si>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</si>
  <si>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</si>
  <si>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</si>
  <si>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</si>
  <si>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</si>
  <si>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</si>
  <si>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</si>
  <si>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</si>
  <si>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</si>
  <si>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</si>
  <si>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</si>
  <si>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</si>
  <si>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</si>
  <si>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</si>
  <si>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</si>
  <si>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</si>
  <si>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</si>
  <si>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</si>
  <si>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</si>
  <si>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</si>
  <si>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</si>
  <si>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</si>
  <si>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</si>
  <si>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</si>
  <si>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</si>
  <si>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</si>
  <si>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</si>
  <si>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</si>
  <si>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</si>
  <si>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</si>
  <si>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</si>
  <si>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</si>
  <si>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</si>
  <si>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</si>
  <si>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</si>
  <si>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</si>
  <si>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</si>
  <si>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</si>
  <si>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</si>
  <si>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</si>
  <si>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</si>
  <si>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</si>
  <si>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</si>
  <si>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</si>
  <si>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Delayed price as of
1:29 PM EDT 10/18/23
.
Market open.</t>
  </si>
  <si>
    <t>GP-COGS</t>
  </si>
  <si>
    <t>Unless you need formual of OI+P-CI. Not sure if the total operating expense is the same.</t>
  </si>
  <si>
    <t>Operating income tab on financial statement</t>
  </si>
  <si>
    <t>Working Capital / Total Net Sales</t>
  </si>
  <si>
    <t>Debt repayment can be found in cash flow statement, please link it to that number. Hard coded numbers cannot be traced back.</t>
  </si>
  <si>
    <t>Share Price / Book Value per Share</t>
  </si>
  <si>
    <t>Total Equity/Diluted number of shares (can be found at the bottom of income statement)</t>
  </si>
  <si>
    <t>Dividend Per Share / Share Price</t>
  </si>
  <si>
    <t>EV / EBITDA</t>
  </si>
  <si>
    <t>Market Cap  (share price * diluted number of shares)+ Total Debt - (Cash + Cash Equivalents)</t>
  </si>
  <si>
    <t>Product sale/Total revenue &amp; service sales/Total revenue</t>
  </si>
  <si>
    <t>Gross profit/Sales revenue</t>
  </si>
  <si>
    <t>Capex in the purchase of Property plant and Equipment in the cash flow statement</t>
  </si>
  <si>
    <t>operational Expenses = (Annual Operating Expenses - Noncash Charges) / 365. Non cash charges includes depreciation and amortization which can be found in cash flow statement</t>
  </si>
  <si>
    <t>Debt should be only the term debt under non-current liabilities, not the total non-current liability value</t>
  </si>
  <si>
    <t>Dividend paid is in the cash flow statement, please link it to that number, hardcoded values cannot be traced back to source</t>
  </si>
  <si>
    <t>EBIT / (Term debt in non-current labilities + total equity)</t>
  </si>
  <si>
    <t>You have to calculate each cost item mentioned in the income statement and divided it by total revenue (do not multiply by 100, use the % formatting instead)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</si>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</sst>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5"/>
      <color rgb="FF000000"/>
      <name val="Arial"/>
      <family val="2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2" fontId="0" fillId="0" borderId="0" xfId="0" applyNumberFormat="1"/>
    <xf numFmtId="164" fontId="0" fillId="0" borderId="0" xfId="1" applyNumberFormat="1" applyFont="1"/>
    <xf numFmtId="0" fontId="9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6" zoomScale="80" workbookViewId="0">
      <selection activeCell="A16" sqref="A16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5" zoomScaleNormal="100" workbookViewId="0">
      <selection activeCell="D45" sqref="D45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8" t="s">
        <v>1</v>
      </c>
      <c r="B2" s="28"/>
      <c r="C2" s="28"/>
      <c r="D2" s="28"/>
    </row>
    <row r="3" spans="1:10" x14ac:dyDescent="0.3">
      <c r="B3" s="27" t="s">
        <v>23</v>
      </c>
      <c r="C3" s="27"/>
      <c r="D3" s="27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8" t="s">
        <v>24</v>
      </c>
      <c r="B31" s="28"/>
      <c r="C31" s="28"/>
      <c r="D31" s="28"/>
    </row>
    <row r="32" spans="1:4" x14ac:dyDescent="0.3">
      <c r="B32" s="27" t="s">
        <v>142</v>
      </c>
      <c r="C32" s="27"/>
      <c r="D32" s="27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8" t="s">
        <v>55</v>
      </c>
      <c r="B71" s="28"/>
      <c r="C71" s="28"/>
      <c r="D71" s="28"/>
    </row>
    <row r="72" spans="1:4" x14ac:dyDescent="0.3">
      <c r="B72" s="27" t="s">
        <v>23</v>
      </c>
      <c r="C72" s="27"/>
      <c r="D72" s="27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7"/>
  <sheetViews>
    <sheetView tabSelected="1" zoomScale="90" zoomScaleNormal="90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2.109375" bestFit="1" customWidth="1"/>
    <col min="4" max="4" width="11.44140625" bestFit="1" customWidth="1"/>
    <col min="5" max="5" width="11.21875" bestFit="1" customWidth="1"/>
    <col min="6" max="6" width="41.77734375" customWidth="1"/>
    <col min="11" max="11" width="13.21875" bestFit="1" customWidth="1"/>
  </cols>
  <sheetData>
    <row r="1" spans="1:13" ht="60" customHeight="1" x14ac:dyDescent="0.5">
      <c r="A1" s="6"/>
      <c r="B1" s="20" t="s">
        <v>0</v>
      </c>
      <c r="C1" s="19"/>
      <c r="D1" s="19"/>
      <c r="E1" s="19"/>
      <c r="F1" s="32" t="s">
        <v>169</v>
      </c>
      <c r="G1" s="19"/>
      <c r="H1" s="19"/>
      <c r="I1" s="19"/>
      <c r="J1" s="19"/>
    </row>
    <row r="2" spans="1:13" x14ac:dyDescent="0.3">
      <c r="C2" s="27" t="s">
        <v>23</v>
      </c>
      <c r="D2" s="27"/>
      <c r="E2" s="27"/>
    </row>
    <row r="3" spans="1:13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3">
      <c r="A4" s="18">
        <v>1</v>
      </c>
      <c r="B4" s="7" t="s">
        <v>99</v>
      </c>
    </row>
    <row r="5" spans="1:13" x14ac:dyDescent="0.3">
      <c r="A5" s="18">
        <f>+A4+0.1</f>
        <v>1.1000000000000001</v>
      </c>
      <c r="B5" s="1" t="s">
        <v>100</v>
      </c>
      <c r="C5" s="29">
        <f>'Financial Statements'!B42/'Financial Statements'!B56</f>
        <v>0.87935602862672257</v>
      </c>
      <c r="D5" s="29">
        <f>'Financial Statements'!C42/'Financial Statements'!C56</f>
        <v>1.0745531195957954</v>
      </c>
      <c r="E5" s="29">
        <f>'Financial Statements'!D42/'Financial Statements'!D56</f>
        <v>1.3636044481554577</v>
      </c>
    </row>
    <row r="6" spans="1:13" x14ac:dyDescent="0.3">
      <c r="A6" s="18">
        <f t="shared" ref="A6:A13" si="0">+A5+0.1</f>
        <v>1.2000000000000002</v>
      </c>
      <c r="B6" s="1" t="s">
        <v>101</v>
      </c>
      <c r="C6" s="29">
        <f>('Financial Statements'!B42-'Financial Statements'!B39)/'Financial Statements'!B56</f>
        <v>0.84723539114961488</v>
      </c>
      <c r="D6" s="29">
        <f>('Financial Statements'!C42-'Financial Statements'!C39)/'Financial Statements'!C56</f>
        <v>1.0221149018576519</v>
      </c>
      <c r="E6" s="29">
        <f>('Financial Statements'!D42-'Financial Statements'!D39)/'Financial Statements'!D56</f>
        <v>1.325072111735236</v>
      </c>
    </row>
    <row r="7" spans="1:13" x14ac:dyDescent="0.3">
      <c r="A7" s="18">
        <f t="shared" si="0"/>
        <v>1.3000000000000003</v>
      </c>
      <c r="B7" s="1" t="s">
        <v>102</v>
      </c>
      <c r="C7" s="29">
        <f>'Financial Statements'!B36/'Financial Statements'!B56</f>
        <v>0.15356340351469652</v>
      </c>
      <c r="D7" s="29">
        <f>'Financial Statements'!C36/'Financial Statements'!C56</f>
        <v>0.27844853005634318</v>
      </c>
      <c r="E7" s="29">
        <f>'Financial Statements'!D36/'Financial Statements'!D56</f>
        <v>0.36071049035979963</v>
      </c>
    </row>
    <row r="8" spans="1:13" x14ac:dyDescent="0.3">
      <c r="A8" s="18">
        <f t="shared" si="0"/>
        <v>1.4000000000000004</v>
      </c>
      <c r="B8" s="1" t="s">
        <v>103</v>
      </c>
      <c r="C8" s="29">
        <f>'Financial Statements'!B42/K8</f>
        <v>179.79062610270981</v>
      </c>
      <c r="D8" s="29">
        <f>'Financial Statements'!C42/L8</f>
        <v>200.40043325298063</v>
      </c>
      <c r="E8" s="29">
        <f>'Financial Statements'!D42/M8</f>
        <v>154.68139408701396</v>
      </c>
      <c r="F8" t="s">
        <v>164</v>
      </c>
      <c r="K8">
        <f>('Financial Statements'!B12+'Financial Statements'!B17)/365</f>
        <v>753.12602739726026</v>
      </c>
      <c r="L8">
        <f>('Financial Statements'!C12+'Financial Statements'!C17-'Financial Statements'!C79)/365</f>
        <v>672.83287671232881</v>
      </c>
      <c r="M8">
        <f>('Financial Statements'!D12+'Financial Statements'!D12)/365</f>
        <v>929.09041095890416</v>
      </c>
    </row>
    <row r="9" spans="1:13" x14ac:dyDescent="0.3">
      <c r="A9" s="18">
        <f t="shared" si="0"/>
        <v>1.5000000000000004</v>
      </c>
      <c r="B9" s="1" t="s">
        <v>104</v>
      </c>
      <c r="C9" s="29">
        <f>('Financial Statements'!B39*365)/'Financial Statements'!B12</f>
        <v>8.0756980666171607</v>
      </c>
      <c r="D9" s="29">
        <f>('Financial Statements'!C39*365)/'Financial Statements'!C12</f>
        <v>11.27659274770989</v>
      </c>
      <c r="E9" s="29">
        <f>('Financial Statements'!D39*365)/'Financial Statements'!D12</f>
        <v>8.7418833562358831</v>
      </c>
    </row>
    <row r="10" spans="1:13" x14ac:dyDescent="0.3">
      <c r="A10" s="18">
        <f t="shared" si="0"/>
        <v>1.6000000000000005</v>
      </c>
      <c r="B10" s="1" t="s">
        <v>105</v>
      </c>
      <c r="C10" s="29">
        <f>'Financial Statements'!B51/('Financial Statements'!B12/365)</f>
        <v>104.68527730310541</v>
      </c>
      <c r="D10" s="29">
        <f>'Financial Statements'!C51/('Financial Statements'!C12/365)</f>
        <v>93.85107122231561</v>
      </c>
      <c r="E10" s="29">
        <f>'Financial Statements'!D51/('Financial Statements'!D12/365)</f>
        <v>91.048189715674184</v>
      </c>
    </row>
    <row r="11" spans="1:13" x14ac:dyDescent="0.3">
      <c r="A11" s="18">
        <f t="shared" si="0"/>
        <v>1.7000000000000006</v>
      </c>
      <c r="B11" s="1" t="s">
        <v>106</v>
      </c>
      <c r="C11" s="29">
        <f>('Financial Statements'!B38/'Financial Statements'!B8)*365</f>
        <v>26.087825363656648</v>
      </c>
      <c r="D11" s="29">
        <f>('Financial Statements'!C38/'Financial Statements'!C8)*365</f>
        <v>26.219311841713207</v>
      </c>
      <c r="E11" s="29">
        <f>('Financial Statements'!D38/'Financial Statements'!D8)*365</f>
        <v>21.433437152796749</v>
      </c>
    </row>
    <row r="12" spans="1:13" x14ac:dyDescent="0.3">
      <c r="A12" s="18">
        <f t="shared" si="0"/>
        <v>1.8000000000000007</v>
      </c>
      <c r="B12" s="1" t="s">
        <v>107</v>
      </c>
      <c r="C12" s="29">
        <f>(C9+C11)-C10</f>
        <v>-70.521753872831596</v>
      </c>
      <c r="D12" s="29">
        <f t="shared" ref="D12:E12" si="1">(D9+D11)-D10</f>
        <v>-56.355166632892512</v>
      </c>
      <c r="E12" s="29">
        <f t="shared" si="1"/>
        <v>-60.872869206641553</v>
      </c>
    </row>
    <row r="13" spans="1:13" x14ac:dyDescent="0.3">
      <c r="A13" s="18">
        <f t="shared" si="0"/>
        <v>1.9000000000000008</v>
      </c>
      <c r="B13" s="1" t="s">
        <v>108</v>
      </c>
      <c r="F13" t="s">
        <v>154</v>
      </c>
    </row>
    <row r="14" spans="1:13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3" x14ac:dyDescent="0.3">
      <c r="A15" s="18"/>
    </row>
    <row r="16" spans="1:13" x14ac:dyDescent="0.3">
      <c r="A16" s="18">
        <f>+A4+1</f>
        <v>2</v>
      </c>
      <c r="B16" s="17" t="s">
        <v>110</v>
      </c>
    </row>
    <row r="17" spans="1:13" x14ac:dyDescent="0.3">
      <c r="A17" s="18">
        <f>+A16+0.1</f>
        <v>2.1</v>
      </c>
      <c r="B17" s="1" t="s">
        <v>9</v>
      </c>
      <c r="C17" s="26">
        <f>('Financial Statements'!B13/'Financial Statements'!B8)</f>
        <v>0.43309630561360085</v>
      </c>
      <c r="D17" s="26">
        <f>('Financial Statements'!C13/'Financial Statements'!C8)</f>
        <v>0.41779359625167778</v>
      </c>
      <c r="E17" s="26">
        <f>('Financial Statements'!D13/'Financial Statements'!D8)</f>
        <v>0.38233247727810865</v>
      </c>
    </row>
    <row r="18" spans="1:13" x14ac:dyDescent="0.3">
      <c r="A18" s="18">
        <f>+A17+0.1</f>
        <v>2.2000000000000002</v>
      </c>
      <c r="B18" s="1" t="s">
        <v>111</v>
      </c>
      <c r="C18" s="18">
        <f>(C19/'Financial Statements'!B8)*100</f>
        <v>33.104674281308959</v>
      </c>
      <c r="D18" s="18">
        <f>(D19/'Financial Statements'!C8)*100</f>
        <v>32.86697993805646</v>
      </c>
      <c r="E18" s="18">
        <f>(E19/'Financial Statements'!D8)*100</f>
        <v>28.174780977360069</v>
      </c>
    </row>
    <row r="19" spans="1:13" x14ac:dyDescent="0.3">
      <c r="A19" s="18"/>
      <c r="B19" s="3" t="s">
        <v>112</v>
      </c>
      <c r="C19" s="12">
        <f>C21+'Financial Statements'!B79</f>
        <v>130541</v>
      </c>
      <c r="D19" s="12">
        <f>D21+'Financial Statements'!C79</f>
        <v>120233</v>
      </c>
      <c r="E19" s="12">
        <f>E21+'Financial Statements'!D79</f>
        <v>77344</v>
      </c>
    </row>
    <row r="20" spans="1:13" x14ac:dyDescent="0.3">
      <c r="A20" s="18">
        <f>+A18+0.1</f>
        <v>2.3000000000000003</v>
      </c>
      <c r="B20" s="1" t="s">
        <v>113</v>
      </c>
      <c r="C20" s="18">
        <f>(C21/'Financial Statements'!B8)*100</f>
        <v>30.288744395528592</v>
      </c>
      <c r="D20" s="18">
        <f>(D21/'Financial Statements'!C8)*100</f>
        <v>29.782377527561593</v>
      </c>
      <c r="E20" s="18">
        <f>(E21/'Financial Statements'!D8)*100</f>
        <v>24.147314354406863</v>
      </c>
    </row>
    <row r="21" spans="1:13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13" x14ac:dyDescent="0.3">
      <c r="A22" s="18">
        <f>+A20+0.1</f>
        <v>2.4000000000000004</v>
      </c>
      <c r="B22" s="1" t="s">
        <v>115</v>
      </c>
      <c r="C22" s="30">
        <f>('Financial Statements'!B22/'Financial Statements'!B8)*100</f>
        <v>25.309640705199733</v>
      </c>
      <c r="D22" s="30">
        <f>('Financial Statements'!C22/'Financial Statements'!C8)*100</f>
        <v>25.881793355694239</v>
      </c>
      <c r="E22" s="30">
        <f>('Financial Statements'!D22/'Financial Statements'!D8)*100</f>
        <v>20.913611278072235</v>
      </c>
    </row>
    <row r="23" spans="1:13" x14ac:dyDescent="0.3">
      <c r="A23" s="18"/>
    </row>
    <row r="24" spans="1:13" x14ac:dyDescent="0.3">
      <c r="A24" s="18">
        <f>+A16+1</f>
        <v>3</v>
      </c>
      <c r="B24" s="7" t="s">
        <v>116</v>
      </c>
    </row>
    <row r="25" spans="1:13" x14ac:dyDescent="0.3">
      <c r="A25" s="18">
        <f>+A24+0.1</f>
        <v>3.1</v>
      </c>
      <c r="B25" s="1" t="s">
        <v>117</v>
      </c>
      <c r="C25" s="29">
        <f>'Financial Statements'!B59/'Financial Statements'!B68</f>
        <v>1.9529325860435744</v>
      </c>
      <c r="D25" s="29">
        <f>'Financial Statements'!C59/'Financial Statements'!C68</f>
        <v>1.729370740212395</v>
      </c>
      <c r="E25" s="29">
        <f>'Financial Statements'!D59/'Financial Statements'!D68</f>
        <v>1.5100782075024104</v>
      </c>
    </row>
    <row r="26" spans="1:13" x14ac:dyDescent="0.3">
      <c r="A26" s="18">
        <f t="shared" ref="A26:A30" si="2">+A25+0.1</f>
        <v>3.2</v>
      </c>
      <c r="B26" s="1" t="s">
        <v>118</v>
      </c>
      <c r="C26" s="29">
        <f>'Financial Statements'!B59/'Financial Statements'!B48</f>
        <v>0.28053181386514719</v>
      </c>
      <c r="D26" s="29">
        <f>'Financial Statements'!C59/'Financial Statements'!C48</f>
        <v>0.31084153366647482</v>
      </c>
      <c r="E26" s="29">
        <f>'Financial Statements'!D59/'Financial Statements'!D48</f>
        <v>0.30463308304105124</v>
      </c>
    </row>
    <row r="27" spans="1:13" x14ac:dyDescent="0.3">
      <c r="A27" s="18">
        <f t="shared" si="2"/>
        <v>3.3000000000000003</v>
      </c>
      <c r="B27" s="1" t="s">
        <v>119</v>
      </c>
      <c r="C27" s="29">
        <f>'Financial Statements'!B61/('Financial Statements'!B61+'Financial Statements'!B68)</f>
        <v>0.74507604151469264</v>
      </c>
      <c r="D27" s="29">
        <f>'Financial Statements'!C61/('Financial Statements'!C61+'Financial Statements'!C68)</f>
        <v>0.72024778180302496</v>
      </c>
      <c r="E27" s="29">
        <f>'Financial Statements'!D61/('Financial Statements'!D61+'Financial Statements'!D68)</f>
        <v>0.70096020064440534</v>
      </c>
      <c r="F27" t="s">
        <v>165</v>
      </c>
    </row>
    <row r="28" spans="1:13" x14ac:dyDescent="0.3">
      <c r="A28" s="18">
        <f t="shared" si="2"/>
        <v>3.4000000000000004</v>
      </c>
      <c r="B28" s="1" t="s">
        <v>120</v>
      </c>
      <c r="C28" s="29">
        <f>'List of Ratios'!C21/'Financial Statements'!B114</f>
        <v>41.68830715532286</v>
      </c>
      <c r="D28" s="29">
        <f>'List of Ratios'!D21/'Financial Statements'!C114</f>
        <v>40.546706363974693</v>
      </c>
      <c r="E28" s="29">
        <f>'List of Ratios'!E21/'Financial Statements'!D114</f>
        <v>22.081279147235175</v>
      </c>
    </row>
    <row r="29" spans="1:13" x14ac:dyDescent="0.3">
      <c r="A29" s="18">
        <f t="shared" si="2"/>
        <v>3.5000000000000004</v>
      </c>
      <c r="B29" s="1" t="s">
        <v>121</v>
      </c>
      <c r="C29" s="29">
        <f>C21/('Financial Statements'!B114+K29)</f>
        <v>9.6258059316569948</v>
      </c>
      <c r="D29" s="29">
        <f>D21/('Financial Statements'!C114+L29)</f>
        <v>9.5260120661012504</v>
      </c>
      <c r="E29" s="29">
        <f>E21/('Financial Statements'!D114+M29)</f>
        <v>4.2408035314439259</v>
      </c>
      <c r="F29" t="s">
        <v>155</v>
      </c>
      <c r="K29">
        <v>9543</v>
      </c>
      <c r="L29">
        <v>8750</v>
      </c>
      <c r="M29">
        <v>12629</v>
      </c>
    </row>
    <row r="30" spans="1:13" x14ac:dyDescent="0.3">
      <c r="A30" s="18">
        <f t="shared" si="2"/>
        <v>3.6000000000000005</v>
      </c>
      <c r="B30" s="1" t="s">
        <v>122</v>
      </c>
    </row>
    <row r="31" spans="1:13" x14ac:dyDescent="0.3">
      <c r="A31" s="18"/>
      <c r="B31" s="3" t="s">
        <v>123</v>
      </c>
    </row>
    <row r="32" spans="1:13" x14ac:dyDescent="0.3">
      <c r="A32" s="18"/>
    </row>
    <row r="33" spans="1:16" x14ac:dyDescent="0.3">
      <c r="A33" s="18">
        <f>+A24+1</f>
        <v>4</v>
      </c>
      <c r="B33" s="17" t="s">
        <v>124</v>
      </c>
    </row>
    <row r="34" spans="1:16" x14ac:dyDescent="0.3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16" x14ac:dyDescent="0.3">
      <c r="A35" s="18">
        <f t="shared" ref="A35:A37" si="3">+A34+0.1</f>
        <v>4.1999999999999993</v>
      </c>
      <c r="B35" s="1" t="s">
        <v>126</v>
      </c>
      <c r="C35" s="29">
        <f>SUM('Financial Statements'!B8/'Financial Statements'!B47)</f>
        <v>1.8142535081665516</v>
      </c>
      <c r="D35" s="29">
        <f>SUM('Financial Statements'!C8/'Financial Statements'!C47)</f>
        <v>1.6922966608994938</v>
      </c>
      <c r="E35" s="29">
        <f>SUM('Financial Statements'!D8/'Financial Statements'!D47)</f>
        <v>1.5236020535590398</v>
      </c>
    </row>
    <row r="36" spans="1:16" x14ac:dyDescent="0.3">
      <c r="A36" s="18">
        <f t="shared" si="3"/>
        <v>4.2999999999999989</v>
      </c>
      <c r="B36" s="1" t="s">
        <v>127</v>
      </c>
      <c r="C36" s="29">
        <f>'Financial Statements'!B12/'Financial Statements'!B39</f>
        <v>45.197331176708452</v>
      </c>
      <c r="D36" s="29">
        <f>'Financial Statements'!C12/'Financial Statements'!C39</f>
        <v>32.367933130699086</v>
      </c>
      <c r="E36" s="29">
        <f>'Financial Statements'!D12/'Financial Statements'!D39</f>
        <v>41.753016498399411</v>
      </c>
    </row>
    <row r="37" spans="1:16" x14ac:dyDescent="0.3">
      <c r="A37" s="18">
        <f t="shared" si="3"/>
        <v>4.3999999999999986</v>
      </c>
      <c r="B37" s="1" t="s">
        <v>128</v>
      </c>
      <c r="C37" s="29">
        <f>'Financial Statements'!B22/'Financial Statements'!B48</f>
        <v>0.28292440929256851</v>
      </c>
      <c r="D37" s="29">
        <f>'Financial Statements'!C22/'Financial Statements'!C48</f>
        <v>0.26974205275183616</v>
      </c>
      <c r="E37" s="29">
        <f>'Financial Statements'!D22/'Financial Statements'!D48</f>
        <v>0.1772557180259843</v>
      </c>
    </row>
    <row r="38" spans="1:16" x14ac:dyDescent="0.3">
      <c r="A38" s="18"/>
    </row>
    <row r="39" spans="1:16" x14ac:dyDescent="0.3">
      <c r="A39" s="18">
        <f>+A33+1</f>
        <v>5</v>
      </c>
      <c r="B39" s="17" t="s">
        <v>129</v>
      </c>
    </row>
    <row r="40" spans="1:16" ht="34.799999999999997" customHeight="1" x14ac:dyDescent="0.3">
      <c r="A40" s="18">
        <f>+A39+0.1</f>
        <v>5.0999999999999996</v>
      </c>
      <c r="B40" s="1" t="s">
        <v>130</v>
      </c>
      <c r="C40" s="31">
        <f>L40/'Financial Statements'!B24</f>
        <v>28.803252032520323</v>
      </c>
      <c r="D40" s="31">
        <f>L40/'Financial Statements'!C24</f>
        <v>31.241622574955905</v>
      </c>
      <c r="E40" s="31">
        <f>L40/'Financial Statements'!D24</f>
        <v>53.516616314199389</v>
      </c>
      <c r="K40" s="23" t="s">
        <v>150</v>
      </c>
      <c r="L40" s="24">
        <v>177.14</v>
      </c>
    </row>
    <row r="41" spans="1:16" x14ac:dyDescent="0.3">
      <c r="A41" s="18">
        <f t="shared" ref="A41:A44" si="4">+A40+0.1</f>
        <v>5.1999999999999993</v>
      </c>
      <c r="B41" s="3" t="s">
        <v>131</v>
      </c>
      <c r="C41" s="31">
        <f>'Financial Statements'!B24</f>
        <v>6.15</v>
      </c>
      <c r="D41" s="31">
        <f>'Financial Statements'!C24</f>
        <v>5.67</v>
      </c>
      <c r="E41" s="31">
        <f>'Financial Statements'!D24</f>
        <v>3.31</v>
      </c>
    </row>
    <row r="42" spans="1:16" x14ac:dyDescent="0.3">
      <c r="A42" s="18">
        <f t="shared" si="4"/>
        <v>5.2999999999999989</v>
      </c>
      <c r="B42" s="1" t="s">
        <v>132</v>
      </c>
      <c r="C42" s="31"/>
      <c r="D42" s="31"/>
      <c r="E42" s="31"/>
      <c r="F42" t="s">
        <v>156</v>
      </c>
    </row>
    <row r="43" spans="1:16" x14ac:dyDescent="0.3">
      <c r="A43" s="18">
        <f t="shared" si="4"/>
        <v>5.3999999999999986</v>
      </c>
      <c r="B43" s="3" t="s">
        <v>133</v>
      </c>
      <c r="C43" s="31"/>
      <c r="D43" s="31"/>
      <c r="E43" s="31"/>
      <c r="F43" t="s">
        <v>157</v>
      </c>
    </row>
    <row r="44" spans="1:16" x14ac:dyDescent="0.3">
      <c r="A44" s="18">
        <f t="shared" si="4"/>
        <v>5.4999999999999982</v>
      </c>
      <c r="B44" s="1" t="s">
        <v>134</v>
      </c>
      <c r="C44" s="31">
        <f>K44/'Financial Statements'!B22</f>
        <v>0.14870294480125848</v>
      </c>
      <c r="D44" s="31">
        <f>L44/'Financial Statements'!C22</f>
        <v>0.15279890156316012</v>
      </c>
      <c r="E44" s="31">
        <f>M44/'Financial Statements'!D22</f>
        <v>0.24526658654264863</v>
      </c>
      <c r="K44">
        <v>14841</v>
      </c>
      <c r="L44">
        <v>14467</v>
      </c>
      <c r="M44">
        <v>14081</v>
      </c>
    </row>
    <row r="45" spans="1:16" x14ac:dyDescent="0.3">
      <c r="A45" s="18"/>
      <c r="B45" s="3" t="s">
        <v>135</v>
      </c>
      <c r="C45" s="31"/>
      <c r="D45" s="31"/>
      <c r="E45" s="31"/>
      <c r="F45" t="s">
        <v>166</v>
      </c>
    </row>
    <row r="46" spans="1:16" x14ac:dyDescent="0.3">
      <c r="A46" s="18">
        <f>+A44+0.1</f>
        <v>5.5999999999999979</v>
      </c>
      <c r="B46" s="1" t="s">
        <v>136</v>
      </c>
      <c r="C46" s="31"/>
      <c r="D46" s="31"/>
      <c r="E46" s="31"/>
      <c r="F46" t="s">
        <v>158</v>
      </c>
    </row>
    <row r="47" spans="1:16" x14ac:dyDescent="0.3">
      <c r="A47" s="18">
        <f t="shared" ref="A47:A50" si="5">+A45+0.1</f>
        <v>0.1</v>
      </c>
      <c r="B47" s="1" t="s">
        <v>137</v>
      </c>
      <c r="C47" s="31">
        <f>'Financial Statements'!B22/'Financial Statements'!B68</f>
        <v>1.9695887275023682</v>
      </c>
      <c r="D47" s="31">
        <f>'Financial Statements'!C22/'Financial Statements'!C68</f>
        <v>1.5007132667617689</v>
      </c>
      <c r="E47" s="31">
        <f>'Financial Statements'!D22/'Financial Statements'!D68</f>
        <v>0.87866358530127486</v>
      </c>
      <c r="L47" cm="1">
        <f t="array" ref="L47">SUM('Financial Statements'!B68:D68/3)</f>
        <v>59700.333333333343</v>
      </c>
    </row>
    <row r="48" spans="1:16" x14ac:dyDescent="0.3">
      <c r="A48" s="18">
        <f t="shared" si="5"/>
        <v>5.6999999999999975</v>
      </c>
      <c r="B48" s="1" t="s">
        <v>138</v>
      </c>
      <c r="C48" s="31">
        <f>(N48*100)/K48</f>
        <v>95.580185659411015</v>
      </c>
      <c r="D48" s="31">
        <f t="shared" ref="D48:E48" si="6">(O48*100)/L48</f>
        <v>106.54533719292755</v>
      </c>
      <c r="E48" s="31">
        <f t="shared" si="6"/>
        <v>78.004236290891981</v>
      </c>
      <c r="F48" t="s">
        <v>167</v>
      </c>
      <c r="K48">
        <f>'Financial Statements'!B51+'Financial Statements'!B52</f>
        <v>124960</v>
      </c>
      <c r="L48">
        <f>'Financial Statements'!C51+'Financial Statements'!C52</f>
        <v>102256</v>
      </c>
      <c r="M48">
        <f>'Financial Statements'!D51+'Financial Statements'!D52</f>
        <v>84980</v>
      </c>
      <c r="N48">
        <f>('Financial Statements'!B8-'Financial Statements'!B12)-'Financial Statements'!B17</f>
        <v>119437</v>
      </c>
      <c r="O48">
        <f>('Financial Statements'!C8-'Financial Statements'!C12)-'Financial Statements'!C17</f>
        <v>108949</v>
      </c>
      <c r="P48">
        <f>('Financial Statements'!D8-'Financial Statements'!D12)-'Financial Statements'!D17</f>
        <v>66288</v>
      </c>
    </row>
    <row r="49" spans="1:11" x14ac:dyDescent="0.3">
      <c r="A49" s="18">
        <f t="shared" si="5"/>
        <v>0.2</v>
      </c>
      <c r="B49" s="1" t="s">
        <v>128</v>
      </c>
      <c r="C49" s="31">
        <f>C37</f>
        <v>0.28292440929256851</v>
      </c>
      <c r="D49" s="31">
        <f t="shared" ref="D49:E49" si="7">D37</f>
        <v>0.26974205275183616</v>
      </c>
      <c r="E49" s="31">
        <f t="shared" si="7"/>
        <v>0.1772557180259843</v>
      </c>
      <c r="K49">
        <f>SUM('Financial Statements'!B48:D48)/3</f>
        <v>342548.33333333331</v>
      </c>
    </row>
    <row r="50" spans="1:11" x14ac:dyDescent="0.3">
      <c r="A50" s="18">
        <f t="shared" si="5"/>
        <v>5.7999999999999972</v>
      </c>
      <c r="B50" s="1" t="s">
        <v>139</v>
      </c>
      <c r="C50" s="31"/>
      <c r="D50" s="31"/>
      <c r="E50" s="31"/>
      <c r="F50" t="s">
        <v>159</v>
      </c>
    </row>
    <row r="51" spans="1:11" x14ac:dyDescent="0.3">
      <c r="A51" s="18"/>
      <c r="B51" s="3" t="s">
        <v>140</v>
      </c>
      <c r="C51" s="31"/>
      <c r="D51" s="31"/>
      <c r="E51" s="31"/>
      <c r="F51" t="s">
        <v>160</v>
      </c>
      <c r="K51" s="23"/>
    </row>
    <row r="52" spans="1:11" x14ac:dyDescent="0.3">
      <c r="C52" s="31"/>
      <c r="D52" s="31"/>
      <c r="E52" s="31"/>
    </row>
    <row r="53" spans="1:11" x14ac:dyDescent="0.3">
      <c r="C53" s="31"/>
      <c r="D53" s="31"/>
      <c r="E53" s="31"/>
    </row>
    <row r="54" spans="1:11" x14ac:dyDescent="0.3">
      <c r="B54" s="1" t="s">
        <v>145</v>
      </c>
      <c r="C54" s="31"/>
      <c r="D54" s="31"/>
      <c r="E54" s="31"/>
      <c r="F54" t="s">
        <v>161</v>
      </c>
    </row>
    <row r="55" spans="1:11" x14ac:dyDescent="0.3">
      <c r="B55" s="1" t="s">
        <v>89</v>
      </c>
      <c r="C55" s="31">
        <f>'Financial Statements'!B8-'Financial Statements'!B12</f>
        <v>170782</v>
      </c>
      <c r="D55" s="31">
        <f>'Financial Statements'!C8-'Financial Statements'!C12</f>
        <v>152836</v>
      </c>
      <c r="E55" s="31">
        <f>'Financial Statements'!D8-'Financial Statements'!D12</f>
        <v>104956</v>
      </c>
      <c r="F55" t="s">
        <v>162</v>
      </c>
    </row>
    <row r="56" spans="1:11" x14ac:dyDescent="0.3">
      <c r="B56" s="1" t="s">
        <v>90</v>
      </c>
      <c r="C56" s="31"/>
      <c r="D56" s="31"/>
      <c r="E56" s="31"/>
      <c r="F56" t="s">
        <v>168</v>
      </c>
    </row>
    <row r="57" spans="1:11" x14ac:dyDescent="0.3">
      <c r="B57" s="1" t="s">
        <v>91</v>
      </c>
      <c r="C57" s="31"/>
      <c r="D57" s="31"/>
      <c r="E57" s="31"/>
    </row>
    <row r="58" spans="1:11" x14ac:dyDescent="0.3">
      <c r="C58" s="31"/>
      <c r="D58" s="31"/>
      <c r="E58" s="31"/>
    </row>
    <row r="59" spans="1:11" x14ac:dyDescent="0.3">
      <c r="B59" s="1" t="s">
        <v>146</v>
      </c>
      <c r="C59" s="31">
        <f>'Financial Statements'!B17</f>
        <v>51345</v>
      </c>
      <c r="D59" s="31">
        <f>'Financial Statements'!C17</f>
        <v>43887</v>
      </c>
      <c r="E59" s="31">
        <f>'Financial Statements'!D17</f>
        <v>38668</v>
      </c>
      <c r="G59" t="s">
        <v>152</v>
      </c>
    </row>
    <row r="60" spans="1:11" x14ac:dyDescent="0.3">
      <c r="B60" s="1" t="s">
        <v>89</v>
      </c>
      <c r="C60" s="31">
        <f>'Financial Statements'!B8-'Financial Statements'!B12</f>
        <v>170782</v>
      </c>
      <c r="D60" s="31">
        <f>'Financial Statements'!C8-'Financial Statements'!C12</f>
        <v>152836</v>
      </c>
      <c r="E60" s="31">
        <f>'Financial Statements'!D8-'Financial Statements'!D12</f>
        <v>104956</v>
      </c>
    </row>
    <row r="61" spans="1:11" x14ac:dyDescent="0.3">
      <c r="B61" s="1" t="s">
        <v>90</v>
      </c>
      <c r="C61" s="31"/>
      <c r="D61" s="31"/>
      <c r="E61" s="31"/>
    </row>
    <row r="62" spans="1:11" x14ac:dyDescent="0.3">
      <c r="B62" s="1" t="s">
        <v>14</v>
      </c>
      <c r="C62" s="31">
        <f>'Financial Statements'!B18</f>
        <v>119437</v>
      </c>
      <c r="D62" s="31">
        <f>'Financial Statements'!C18</f>
        <v>108949</v>
      </c>
      <c r="E62" s="31">
        <f>'Financial Statements'!D18</f>
        <v>66288</v>
      </c>
      <c r="G62" t="s">
        <v>153</v>
      </c>
    </row>
    <row r="63" spans="1:11" x14ac:dyDescent="0.3">
      <c r="B63" s="1" t="s">
        <v>93</v>
      </c>
      <c r="C63" s="31">
        <f>C60-C59</f>
        <v>119437</v>
      </c>
      <c r="D63" s="31">
        <f t="shared" ref="D63:E63" si="8">D60-D59</f>
        <v>108949</v>
      </c>
      <c r="E63" s="31">
        <f t="shared" si="8"/>
        <v>66288</v>
      </c>
      <c r="G63" t="s">
        <v>151</v>
      </c>
    </row>
    <row r="64" spans="1:11" x14ac:dyDescent="0.3">
      <c r="C64" s="31"/>
      <c r="D64" s="31"/>
      <c r="E64" s="31"/>
    </row>
    <row r="65" spans="2:6" x14ac:dyDescent="0.3">
      <c r="B65" s="1" t="s">
        <v>94</v>
      </c>
      <c r="C65" s="31"/>
      <c r="D65" s="31"/>
      <c r="E65" s="31"/>
    </row>
    <row r="66" spans="2:6" x14ac:dyDescent="0.3">
      <c r="B66" s="1" t="s">
        <v>95</v>
      </c>
      <c r="C66" s="31">
        <f>'Financial Statements'!B45/'Financial Statements'!B8</f>
        <v>0.10680702359457102</v>
      </c>
      <c r="D66" s="31">
        <f>'Financial Statements'!C45/'Financial Statements'!C8</f>
        <v>0.10781346957631821</v>
      </c>
      <c r="E66" s="31">
        <f>'Financial Statements'!D45/'Financial Statements'!D8</f>
        <v>0.13393075059650655</v>
      </c>
      <c r="F66" t="s">
        <v>163</v>
      </c>
    </row>
    <row r="67" spans="2:6" x14ac:dyDescent="0.3">
      <c r="B67" s="1" t="s">
        <v>96</v>
      </c>
      <c r="C67" s="31">
        <f>'Financial Statements'!B45/'List of Ratios'!C60</f>
        <v>0.24661264067641789</v>
      </c>
      <c r="D67" s="31">
        <f>'Financial Statements'!C45/'List of Ratios'!D60</f>
        <v>0.25805438509251749</v>
      </c>
      <c r="E67" s="31">
        <f>'Financial Statements'!D45/'List of Ratios'!E60</f>
        <v>0.35029917298677543</v>
      </c>
    </row>
  </sheetData>
  <mergeCells count="1">
    <mergeCell ref="C2:E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cp:lastPrinted>2023-10-09T17:32:35Z</cp:lastPrinted>
  <dcterms:created xsi:type="dcterms:W3CDTF">2020-05-18T16:32:37Z</dcterms:created>
  <dcterms:modified xsi:type="dcterms:W3CDTF">2023-10-26T16:49:50Z</dcterms:modified>
</cp:coreProperties>
</file>