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"/>
    </mc:Choice>
  </mc:AlternateContent>
  <xr:revisionPtr revIDLastSave="0" documentId="8_{D9E55624-F866-4480-87F3-5A7E0FAE99CD}" xr6:coauthVersionLast="47" xr6:coauthVersionMax="47" xr10:uidLastSave="{00000000-0000-0000-0000-000000000000}"/>
  <bookViews>
    <workbookView xWindow="-108" yWindow="-108" windowWidth="23256" windowHeight="13896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7" i="3" l="1"/>
  <c r="D47" i="3"/>
  <c r="C47" i="3"/>
  <c r="L47" i="3" a="1"/>
  <c r="L47" i="3" s="1"/>
  <c r="D49" i="3"/>
  <c r="E49" i="3"/>
  <c r="C49" i="3"/>
  <c r="K49" i="3"/>
  <c r="D44" i="3"/>
  <c r="E44" i="3"/>
  <c r="C44" i="3"/>
  <c r="D41" i="3"/>
  <c r="E41" i="3"/>
  <c r="C41" i="3"/>
  <c r="E40" i="3"/>
  <c r="D40" i="3"/>
  <c r="C40" i="3"/>
  <c r="D20" i="3"/>
  <c r="E20" i="3"/>
  <c r="C20" i="3"/>
  <c r="D18" i="3"/>
  <c r="E18" i="3"/>
  <c r="C18" i="3"/>
  <c r="D17" i="3"/>
  <c r="E17" i="3"/>
  <c r="C17" i="3"/>
  <c r="D22" i="3"/>
  <c r="E22" i="3"/>
  <c r="C22" i="3"/>
  <c r="D21" i="3"/>
  <c r="E21" i="3"/>
  <c r="C21" i="3"/>
  <c r="D19" i="3"/>
  <c r="E19" i="3"/>
  <c r="C19" i="3"/>
  <c r="D26" i="3"/>
  <c r="E26" i="3"/>
  <c r="C26" i="3"/>
  <c r="D25" i="3"/>
  <c r="E25" i="3"/>
  <c r="C25" i="3"/>
  <c r="E48" i="3"/>
  <c r="D48" i="3"/>
  <c r="C48" i="3"/>
  <c r="O48" i="3"/>
  <c r="P48" i="3"/>
  <c r="N48" i="3"/>
  <c r="L48" i="3"/>
  <c r="M48" i="3"/>
  <c r="K48" i="3"/>
  <c r="D36" i="3"/>
  <c r="E36" i="3"/>
  <c r="C36" i="3"/>
  <c r="D9" i="3"/>
  <c r="E9" i="3"/>
  <c r="C9" i="3"/>
  <c r="D35" i="3"/>
  <c r="E35" i="3"/>
  <c r="C35" i="3"/>
  <c r="D37" i="3"/>
  <c r="E37" i="3"/>
  <c r="C37" i="3"/>
  <c r="D34" i="3"/>
  <c r="E34" i="3"/>
  <c r="C34" i="3"/>
  <c r="D11" i="3"/>
  <c r="E11" i="3"/>
  <c r="C11" i="3"/>
  <c r="E10" i="3"/>
  <c r="D10" i="3"/>
  <c r="C10" i="3"/>
  <c r="K8" i="3"/>
  <c r="L8" i="3"/>
  <c r="D8" i="3" s="1"/>
  <c r="M8" i="3"/>
  <c r="E8" i="3"/>
  <c r="C8" i="3"/>
  <c r="D7" i="3"/>
  <c r="E7" i="3"/>
  <c r="C7" i="3"/>
  <c r="D6" i="3"/>
  <c r="E6" i="3"/>
  <c r="C6" i="3"/>
  <c r="D5" i="3"/>
  <c r="E5" i="3"/>
  <c r="C5" i="3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C62" i="1" s="1"/>
  <c r="B56" i="1"/>
  <c r="B48" i="1"/>
  <c r="D47" i="1"/>
  <c r="C47" i="1"/>
  <c r="B47" i="1"/>
  <c r="D42" i="1"/>
  <c r="C42" i="1"/>
  <c r="B42" i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B8" i="1"/>
  <c r="B13" i="1" s="1"/>
  <c r="E3" i="3"/>
  <c r="D3" i="3"/>
  <c r="C3" i="3"/>
  <c r="D33" i="1"/>
  <c r="D73" i="1" s="1"/>
  <c r="C33" i="1"/>
  <c r="C73" i="1" s="1"/>
  <c r="B33" i="1"/>
  <c r="B73" i="1" s="1"/>
  <c r="C13" i="1" l="1"/>
  <c r="C18" i="1" s="1"/>
  <c r="C20" i="1" s="1"/>
  <c r="C22" i="1" s="1"/>
  <c r="C76" i="1" s="1"/>
  <c r="C91" i="1" s="1"/>
  <c r="C109" i="1" s="1"/>
  <c r="B62" i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<sst xmlns="http://schemas.openxmlformats.org/spreadsheetml/2006/main" count="203" uniqueCount="178">
  <si>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</si>
  <si>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</si>
  <si>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</si>
  <si>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</si>
  <si>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</si>
  <si>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</si>
  <si>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</si>
  <si>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</si>
  <si>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</si>
  <si>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</si>
  <si>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</si>
  <si>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</si>
  <si>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</si>
  <si>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</si>
  <si>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</si>
  <si>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</si>
  <si>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</si>
  <si>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</si>
  <si>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</si>
  <si>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</si>
  <si>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</si>
  <si>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</si>
  <si>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</si>
  <si>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</si>
  <si>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</si>
  <si>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</si>
  <si>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</si>
  <si>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</si>
  <si>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</si>
  <si>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</si>
  <si>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</si>
  <si>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</si>
  <si>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</si>
  <si>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</si>
  <si>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</si>
  <si>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</si>
  <si>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</si>
  <si>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</si>
  <si>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</si>
  <si>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</si>
  <si>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</si>
  <si>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</si>
  <si>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</si>
  <si>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</si>
  <si>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</si>
  <si>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</si>
  <si>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</si>
  <si>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</si>
  <si>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</si>
  <si>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</si>
  <si>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</si>
  <si>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</si>
  <si>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</si>
  <si>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</si>
  <si>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</si>
  <si>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</si>
  <si>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</si>
  <si>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</si>
  <si>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</si>
  <si>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</si>
  <si>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</si>
  <si>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</si>
  <si>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</si>
  <si>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</si>
  <si>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</si>
  <si>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</si>
  <si>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</si>
  <si>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</si>
  <si>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</si>
  <si>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</si>
  <si>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</si>
  <si>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</si>
  <si>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</si>
  <si>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</si>
  <si>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</si>
  <si>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</si>
  <si>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</si>
  <si>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</si>
  <si>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</si>
  <si>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</si>
  <si>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</si>
  <si>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</si>
  <si>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</si>
  <si>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</si>
  <si>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</si>
  <si>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</si>
  <si>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</si>
  <si>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</si>
  <si>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</si>
  <si>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</si>
  <si>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</si>
  <si>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</si>
  <si>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</si>
  <si>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</si>
  <si>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</si>
  <si>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</si>
  <si>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</si>
  <si>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</si>
  <si>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</si>
  <si>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</si>
  <si>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</si>
  <si>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</si>
  <si>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</si>
  <si>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</si>
  <si>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</si>
  <si>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</si>
  <si>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</si>
  <si>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</si>
  <si>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</si>
  <si>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</si>
  <si>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</si>
  <si>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</si>
  <si>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</si>
  <si>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</si>
  <si>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</si>
  <si>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</si>
  <si>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</si>
  <si>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</si>
  <si>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</si>
  <si>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</si>
  <si>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</si>
  <si>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</si>
  <si>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</si>
  <si>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</si>
  <si>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</si>
  <si>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</si>
  <si>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</si>
  <si>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</si>
  <si>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</si>
  <si>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</si>
  <si>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</si>
  <si>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</si>
  <si>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</si>
  <si>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</si>
  <si>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</si>
  <si>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</si>
  <si>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</si>
  <si>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</si>
  <si>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</si>
  <si>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</si>
  <si>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</si>
  <si>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</si>
  <si>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</si>
  <si>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</si>
  <si>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</si>
  <si>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</si>
  <si>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</si>
  <si>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</si>
  <si>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</si>
  <si>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</si>
  <si>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Delayed price as of
1:29 PM EDT 10/18/23
.
Market open.</t>
  </si>
  <si>
    <t>Current Assets / Daily Operational Expenses where Daily Operational Expenses = (Annual Operating Expenses - Noncash Charges) / 365</t>
  </si>
  <si>
    <t>(Accounts Receivable / Total Net Sales) x 365</t>
  </si>
  <si>
    <t>Inventory Days + Receivable Days - Payable Days</t>
  </si>
  <si>
    <t>Working Capital / Total Net Sales</t>
  </si>
  <si>
    <t>Current Assets - Current Liabilities</t>
  </si>
  <si>
    <t>remove multiplication by 100 and use the % formatting instead</t>
  </si>
  <si>
    <t>Operating Income</t>
  </si>
  <si>
    <t>Operating Income + Depreciation &amp; Amortization</t>
  </si>
  <si>
    <t>For the denominator include only term debt (under non-current liabilities), since differed revenue is not an actual form of capital</t>
  </si>
  <si>
    <t>EBIT / Interest Expense (at the bottom of cash flow)</t>
  </si>
  <si>
    <t>EBIT/ (Interest + Debt repayment) debt repayment can be found in cash flow statement</t>
  </si>
  <si>
    <t>Cash from operations + Capex + Net debt issued</t>
  </si>
  <si>
    <t>FCFE/Diluted number of shares</t>
  </si>
  <si>
    <t>Net Income / Total Assets</t>
  </si>
  <si>
    <t>Should be linked to Diluted EPS</t>
  </si>
  <si>
    <t>Share Price / Book Value per Share</t>
  </si>
  <si>
    <t>Dividend Paid / Net Income</t>
  </si>
  <si>
    <t>Dividend Per Share / Share Price</t>
  </si>
  <si>
    <t>EV / EBITDA</t>
  </si>
  <si>
    <t>Market Cap + Total Debt - (Cash + Cash Equivalents)</t>
  </si>
  <si>
    <t>Total Equity/Diluted number of shares</t>
  </si>
  <si>
    <t>Dividend Paid (in cash flow)/ Diluted number of shares</t>
  </si>
  <si>
    <t>Net Income / Shareholders Equity</t>
  </si>
  <si>
    <t>EBIT / (Term debt + total equity)</t>
  </si>
  <si>
    <t>Debt/(Debt + Total shareholder equity)</t>
  </si>
  <si>
    <t>Feedback</t>
  </si>
  <si>
    <t>Please calculate the percentages mentioned in row 8 to 24 in the instructions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</si>
</sst>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5"/>
      <color rgb="FF000000"/>
      <name val="Arial"/>
      <family val="2"/>
    </font>
    <font>
      <b/>
      <sz val="16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4" fontId="0" fillId="0" borderId="0" xfId="0" applyNumberFormat="1"/>
    <xf numFmtId="0" fontId="0" fillId="0" borderId="0" xfId="0" applyAlignment="1">
      <alignment wrapText="1"/>
    </xf>
    <xf numFmtId="0" fontId="8" fillId="0" borderId="0" xfId="0" applyFo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164" fontId="0" fillId="0" borderId="0" xfId="1" applyFont="1"/>
    <xf numFmtId="0" fontId="9" fillId="2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6" zoomScale="80" workbookViewId="0">
      <selection activeCell="A8" sqref="A8"/>
    </sheetView>
  </sheetViews>
  <sheetFormatPr defaultRowHeight="14.4" x14ac:dyDescent="0.3"/>
  <cols>
    <col min="1" max="1" width="104.554687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75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24" workbookViewId="0">
      <selection activeCell="D24" sqref="D24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27" t="s">
        <v>1</v>
      </c>
      <c r="B2" s="27"/>
      <c r="C2" s="27"/>
      <c r="D2" s="27"/>
    </row>
    <row r="3" spans="1:10" x14ac:dyDescent="0.3">
      <c r="B3" s="26" t="s">
        <v>23</v>
      </c>
      <c r="C3" s="26"/>
      <c r="D3" s="26"/>
    </row>
    <row r="4" spans="1:10" x14ac:dyDescent="0.3">
      <c r="B4" s="7">
        <v>2022</v>
      </c>
      <c r="C4" s="7">
        <v>2021</v>
      </c>
      <c r="D4" s="7">
        <v>2020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3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7" customFormat="1" x14ac:dyDescent="0.3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3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3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3">
      <c r="A21" t="s">
        <v>17</v>
      </c>
      <c r="B21" s="12">
        <v>19300</v>
      </c>
      <c r="C21" s="12">
        <v>14527</v>
      </c>
      <c r="D21" s="12">
        <v>9680</v>
      </c>
    </row>
    <row r="22" spans="1:4" ht="15" thickBot="1" x14ac:dyDescent="0.3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" thickTop="1" x14ac:dyDescent="0.3">
      <c r="A23" t="s">
        <v>19</v>
      </c>
    </row>
    <row r="24" spans="1:4" x14ac:dyDescent="0.3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3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3">
      <c r="A26" t="s">
        <v>22</v>
      </c>
    </row>
    <row r="27" spans="1:4" x14ac:dyDescent="0.3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3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3">
      <c r="A31" s="27" t="s">
        <v>24</v>
      </c>
      <c r="B31" s="27"/>
      <c r="C31" s="27"/>
      <c r="D31" s="27"/>
    </row>
    <row r="32" spans="1:4" x14ac:dyDescent="0.3">
      <c r="B32" s="26" t="s">
        <v>142</v>
      </c>
      <c r="C32" s="26"/>
      <c r="D32" s="26"/>
    </row>
    <row r="33" spans="1:4" x14ac:dyDescent="0.3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3">
      <c r="A35" t="s">
        <v>25</v>
      </c>
    </row>
    <row r="36" spans="1:4" x14ac:dyDescent="0.3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3">
      <c r="A43" t="s">
        <v>48</v>
      </c>
      <c r="B43" s="12"/>
      <c r="C43" s="12"/>
      <c r="D43" s="12"/>
    </row>
    <row r="44" spans="1:4" x14ac:dyDescent="0.3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 x14ac:dyDescent="0.35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" thickTop="1" x14ac:dyDescent="0.3"/>
    <row r="50" spans="1:4" x14ac:dyDescent="0.3">
      <c r="A50" t="s">
        <v>34</v>
      </c>
    </row>
    <row r="51" spans="1:4" x14ac:dyDescent="0.3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3">
      <c r="A57" t="s">
        <v>51</v>
      </c>
      <c r="B57" s="12"/>
      <c r="C57" s="12"/>
      <c r="D57" s="12"/>
    </row>
    <row r="58" spans="1:4" x14ac:dyDescent="0.3">
      <c r="A58" s="1" t="s">
        <v>37</v>
      </c>
      <c r="B58" s="12"/>
      <c r="C58" s="12"/>
      <c r="D58" s="12"/>
    </row>
    <row r="59" spans="1:4" x14ac:dyDescent="0.3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3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3">
      <c r="B63" s="12"/>
      <c r="C63" s="12"/>
      <c r="D63" s="12"/>
    </row>
    <row r="64" spans="1:4" x14ac:dyDescent="0.3">
      <c r="A64" t="s">
        <v>42</v>
      </c>
      <c r="B64" s="12"/>
      <c r="C64" s="12"/>
      <c r="D64" s="12"/>
    </row>
    <row r="65" spans="1:4" x14ac:dyDescent="0.3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3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3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3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" thickBot="1" x14ac:dyDescent="0.35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" thickTop="1" x14ac:dyDescent="0.3"/>
    <row r="71" spans="1:4" x14ac:dyDescent="0.3">
      <c r="A71" s="27" t="s">
        <v>55</v>
      </c>
      <c r="B71" s="27"/>
      <c r="C71" s="27"/>
      <c r="D71" s="27"/>
    </row>
    <row r="72" spans="1:4" x14ac:dyDescent="0.3">
      <c r="B72" s="26" t="s">
        <v>23</v>
      </c>
      <c r="C72" s="26"/>
      <c r="D72" s="26"/>
    </row>
    <row r="73" spans="1:4" x14ac:dyDescent="0.3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3">
      <c r="A75" s="7" t="s">
        <v>56</v>
      </c>
      <c r="B75" s="15"/>
      <c r="C75" s="15"/>
      <c r="D75" s="15"/>
    </row>
    <row r="76" spans="1:4" x14ac:dyDescent="0.3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3">
      <c r="A77" s="11" t="s">
        <v>18</v>
      </c>
      <c r="B77" s="15"/>
      <c r="C77" s="15"/>
      <c r="D77" s="15"/>
    </row>
    <row r="78" spans="1:4" x14ac:dyDescent="0.3">
      <c r="A78" s="1" t="s">
        <v>58</v>
      </c>
      <c r="B78" s="12"/>
      <c r="C78" s="12"/>
      <c r="D78" s="12"/>
    </row>
    <row r="79" spans="1:4" x14ac:dyDescent="0.3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3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">
      <c r="A83" t="s">
        <v>62</v>
      </c>
      <c r="B83" s="12"/>
      <c r="C83" s="12"/>
      <c r="D83" s="12"/>
    </row>
    <row r="84" spans="1:4" x14ac:dyDescent="0.3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">
      <c r="A92" s="7" t="s">
        <v>64</v>
      </c>
      <c r="B92" s="12"/>
      <c r="C92" s="12"/>
      <c r="D92" s="12"/>
    </row>
    <row r="93" spans="1:4" x14ac:dyDescent="0.3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">
      <c r="A100" s="7" t="s">
        <v>71</v>
      </c>
      <c r="B100" s="12"/>
      <c r="C100" s="12"/>
      <c r="D100" s="12"/>
    </row>
    <row r="101" spans="1:4" x14ac:dyDescent="0.3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">
      <c r="B111" s="12"/>
      <c r="C111" s="12"/>
      <c r="D111" s="12"/>
    </row>
    <row r="112" spans="1:4" x14ac:dyDescent="0.3">
      <c r="A112" t="s">
        <v>80</v>
      </c>
      <c r="B112" s="12"/>
      <c r="C112" s="12"/>
      <c r="D112" s="12"/>
    </row>
    <row r="113" spans="1:4" x14ac:dyDescent="0.3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23622047244094491" right="0.23622047244094491" top="0.74803149606299213" bottom="0.74803149606299213" header="0.31496062992125984" footer="0.31496062992125984"/>
  <pageSetup paperSize="9" scale="8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4"/>
  <sheetViews>
    <sheetView tabSelected="1" topLeftCell="A41" zoomScaleNormal="100" workbookViewId="0">
      <selection activeCell="F54" sqref="F54"/>
    </sheetView>
  </sheetViews>
  <sheetFormatPr defaultRowHeight="14.4" x14ac:dyDescent="0.3"/>
  <cols>
    <col min="1" max="1" width="4.6640625" customWidth="1"/>
    <col min="2" max="2" width="44.88671875" customWidth="1"/>
    <col min="3" max="3" width="11.77734375" bestFit="1" customWidth="1"/>
    <col min="6" max="6" width="33.109375" customWidth="1"/>
    <col min="11" max="11" width="13.21875" bestFit="1" customWidth="1"/>
  </cols>
  <sheetData>
    <row r="1" spans="1:13" ht="60" customHeight="1" x14ac:dyDescent="0.5">
      <c r="A1" s="6"/>
      <c r="B1" s="20" t="s">
        <v>0</v>
      </c>
      <c r="C1" s="19"/>
      <c r="D1" s="19"/>
      <c r="E1" s="19"/>
      <c r="F1" s="29" t="s">
        <v>176</v>
      </c>
      <c r="G1" s="19"/>
      <c r="H1" s="19"/>
      <c r="I1" s="19"/>
      <c r="J1" s="19"/>
    </row>
    <row r="2" spans="1:13" x14ac:dyDescent="0.3">
      <c r="C2" s="26" t="s">
        <v>23</v>
      </c>
      <c r="D2" s="26"/>
      <c r="E2" s="26"/>
    </row>
    <row r="3" spans="1:13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3" x14ac:dyDescent="0.3">
      <c r="A4" s="18">
        <v>1</v>
      </c>
      <c r="B4" s="7" t="s">
        <v>99</v>
      </c>
    </row>
    <row r="5" spans="1:13" x14ac:dyDescent="0.3">
      <c r="A5" s="18">
        <f>+A4+0.1</f>
        <v>1.1000000000000001</v>
      </c>
      <c r="B5" s="1" t="s">
        <v>100</v>
      </c>
      <c r="C5" s="28">
        <f>'Financial Statements'!B42/'Financial Statements'!B56</f>
        <v>0.87935602862672257</v>
      </c>
      <c r="D5" s="28">
        <f>'Financial Statements'!C42/'Financial Statements'!C56</f>
        <v>1.0745531195957954</v>
      </c>
      <c r="E5" s="28">
        <f>'Financial Statements'!D42/'Financial Statements'!D56</f>
        <v>1.3636044481554577</v>
      </c>
    </row>
    <row r="6" spans="1:13" x14ac:dyDescent="0.3">
      <c r="A6" s="18">
        <f t="shared" ref="A6:A13" si="0">+A5+0.1</f>
        <v>1.2000000000000002</v>
      </c>
      <c r="B6" s="1" t="s">
        <v>101</v>
      </c>
      <c r="C6" s="28">
        <f>('Financial Statements'!B42-'Financial Statements'!B39)/'Financial Statements'!B56</f>
        <v>0.84723539114961488</v>
      </c>
      <c r="D6" s="28">
        <f>('Financial Statements'!C42-'Financial Statements'!C39)/'Financial Statements'!C56</f>
        <v>1.0221149018576519</v>
      </c>
      <c r="E6" s="28">
        <f>('Financial Statements'!D42-'Financial Statements'!D39)/'Financial Statements'!D56</f>
        <v>1.325072111735236</v>
      </c>
    </row>
    <row r="7" spans="1:13" x14ac:dyDescent="0.3">
      <c r="A7" s="18">
        <f t="shared" si="0"/>
        <v>1.3000000000000003</v>
      </c>
      <c r="B7" s="1" t="s">
        <v>102</v>
      </c>
      <c r="C7" s="28">
        <f>'Financial Statements'!B36/'Financial Statements'!B56</f>
        <v>0.15356340351469652</v>
      </c>
      <c r="D7" s="28">
        <f>'Financial Statements'!C36/'Financial Statements'!C56</f>
        <v>0.27844853005634318</v>
      </c>
      <c r="E7" s="28">
        <f>'Financial Statements'!D36/'Financial Statements'!D56</f>
        <v>0.36071049035979963</v>
      </c>
    </row>
    <row r="8" spans="1:13" x14ac:dyDescent="0.3">
      <c r="A8" s="18">
        <f t="shared" si="0"/>
        <v>1.4000000000000004</v>
      </c>
      <c r="B8" s="1" t="s">
        <v>103</v>
      </c>
      <c r="C8" s="28">
        <f>'Financial Statements'!B42/K8</f>
        <v>179.79062610270981</v>
      </c>
      <c r="D8" s="28">
        <f>'Financial Statements'!C42/L8</f>
        <v>200.40043325298063</v>
      </c>
      <c r="E8" s="28">
        <f>'Financial Statements'!D42/M8</f>
        <v>154.68139408701396</v>
      </c>
      <c r="F8" t="s">
        <v>151</v>
      </c>
      <c r="K8">
        <f>('Financial Statements'!B12+'Financial Statements'!B17)/365</f>
        <v>753.12602739726026</v>
      </c>
      <c r="L8">
        <f>('Financial Statements'!C12+'Financial Statements'!C17-'Financial Statements'!C79)/365</f>
        <v>672.83287671232881</v>
      </c>
      <c r="M8">
        <f>('Financial Statements'!D12+'Financial Statements'!D12)/365</f>
        <v>929.09041095890416</v>
      </c>
    </row>
    <row r="9" spans="1:13" x14ac:dyDescent="0.3">
      <c r="A9" s="18">
        <f t="shared" si="0"/>
        <v>1.5000000000000004</v>
      </c>
      <c r="B9" s="1" t="s">
        <v>104</v>
      </c>
      <c r="C9" s="28">
        <f>('Financial Statements'!B39*365)/'Financial Statements'!B12</f>
        <v>8.0756980666171607</v>
      </c>
      <c r="D9" s="28">
        <f>('Financial Statements'!C39*365)/'Financial Statements'!C12</f>
        <v>11.27659274770989</v>
      </c>
      <c r="E9" s="28">
        <f>('Financial Statements'!D39*365)/'Financial Statements'!D12</f>
        <v>8.7418833562358831</v>
      </c>
    </row>
    <row r="10" spans="1:13" x14ac:dyDescent="0.3">
      <c r="A10" s="18">
        <f t="shared" si="0"/>
        <v>1.6000000000000005</v>
      </c>
      <c r="B10" s="1" t="s">
        <v>105</v>
      </c>
      <c r="C10" s="28">
        <f>'Financial Statements'!B51/('Financial Statements'!B12/365)</f>
        <v>104.68527730310541</v>
      </c>
      <c r="D10" s="28">
        <f>'Financial Statements'!C51/('Financial Statements'!C12/365)</f>
        <v>93.85107122231561</v>
      </c>
      <c r="E10" s="28">
        <f>'Financial Statements'!D51/('Financial Statements'!D12/365)</f>
        <v>91.048189715674184</v>
      </c>
    </row>
    <row r="11" spans="1:13" x14ac:dyDescent="0.3">
      <c r="A11" s="18">
        <f t="shared" si="0"/>
        <v>1.7000000000000006</v>
      </c>
      <c r="B11" s="1" t="s">
        <v>106</v>
      </c>
      <c r="C11" s="28">
        <f>365/'Financial Statements'!B38</f>
        <v>1.2950610275333523E-2</v>
      </c>
      <c r="D11" s="28">
        <f>365/'Financial Statements'!C38</f>
        <v>1.388994596240201E-2</v>
      </c>
      <c r="E11" s="28">
        <f>365/'Financial Statements'!D38</f>
        <v>2.2642679900744415E-2</v>
      </c>
      <c r="F11" t="s">
        <v>152</v>
      </c>
    </row>
    <row r="12" spans="1:13" x14ac:dyDescent="0.3">
      <c r="A12" s="18">
        <f t="shared" si="0"/>
        <v>1.8000000000000007</v>
      </c>
      <c r="B12" s="1" t="s">
        <v>107</v>
      </c>
      <c r="F12" t="s">
        <v>153</v>
      </c>
    </row>
    <row r="13" spans="1:13" x14ac:dyDescent="0.3">
      <c r="A13" s="18">
        <f t="shared" si="0"/>
        <v>1.9000000000000008</v>
      </c>
      <c r="B13" s="1" t="s">
        <v>108</v>
      </c>
      <c r="F13" t="s">
        <v>154</v>
      </c>
    </row>
    <row r="14" spans="1:13" x14ac:dyDescent="0.3">
      <c r="A14" s="18"/>
      <c r="B14" s="3" t="s">
        <v>109</v>
      </c>
      <c r="F14" t="s">
        <v>155</v>
      </c>
    </row>
    <row r="15" spans="1:13" x14ac:dyDescent="0.3">
      <c r="A15" s="18"/>
    </row>
    <row r="16" spans="1:13" x14ac:dyDescent="0.3">
      <c r="A16" s="18">
        <f>+A4+1</f>
        <v>2</v>
      </c>
      <c r="B16" s="17" t="s">
        <v>110</v>
      </c>
    </row>
    <row r="17" spans="1:6" x14ac:dyDescent="0.3">
      <c r="A17" s="18">
        <f>+A16+0.1</f>
        <v>2.1</v>
      </c>
      <c r="B17" s="1" t="s">
        <v>9</v>
      </c>
      <c r="C17">
        <f>('Financial Statements'!B13/'Financial Statements'!B8)*100</f>
        <v>43.309630561360088</v>
      </c>
      <c r="D17">
        <f>('Financial Statements'!C13/'Financial Statements'!C8)*100</f>
        <v>41.779359625167778</v>
      </c>
      <c r="E17">
        <f>('Financial Statements'!D13/'Financial Statements'!D8)*100</f>
        <v>38.233247727810863</v>
      </c>
      <c r="F17" t="s">
        <v>156</v>
      </c>
    </row>
    <row r="18" spans="1:6" x14ac:dyDescent="0.3">
      <c r="A18" s="18">
        <f>+A17+0.1</f>
        <v>2.2000000000000002</v>
      </c>
      <c r="B18" s="1" t="s">
        <v>111</v>
      </c>
      <c r="C18">
        <f>(C19/'Financial Statements'!B8)*100</f>
        <v>33.815757440506381</v>
      </c>
      <c r="D18">
        <f>(D19/'Financial Statements'!C8)*100</f>
        <v>36.640178012503519</v>
      </c>
      <c r="E18">
        <f>(E19/'Financial Statements'!D8)*100</f>
        <v>29.495655975083331</v>
      </c>
    </row>
    <row r="19" spans="1:6" x14ac:dyDescent="0.3">
      <c r="A19" s="18"/>
      <c r="B19" s="3" t="s">
        <v>112</v>
      </c>
      <c r="C19">
        <f>'Financial Statements'!B22+'Financial Statements'!B79+'Financial Statements'!B113+'Financial Statements'!B114</f>
        <v>133345</v>
      </c>
      <c r="D19">
        <f>'Financial Statements'!C22+'Financial Statements'!C79+'Financial Statements'!C113+'Financial Statements'!C114</f>
        <v>134036</v>
      </c>
      <c r="E19">
        <f>'Financial Statements'!D22+'Financial Statements'!D79+'Financial Statements'!D113+'Financial Statements'!D114</f>
        <v>80970</v>
      </c>
      <c r="F19" t="s">
        <v>158</v>
      </c>
    </row>
    <row r="20" spans="1:6" x14ac:dyDescent="0.3">
      <c r="A20" s="18">
        <f>+A18+0.1</f>
        <v>2.3000000000000003</v>
      </c>
      <c r="B20" s="1" t="s">
        <v>113</v>
      </c>
      <c r="C20">
        <f>(C21/'Financial Statements'!B8)*100</f>
        <v>30.999827554726018</v>
      </c>
      <c r="D20">
        <f>(D21/'Financial Statements'!C8)*100</f>
        <v>33.555575602008652</v>
      </c>
      <c r="E20">
        <f>(E21/'Financial Statements'!D8)*100</f>
        <v>25.468189352130121</v>
      </c>
    </row>
    <row r="21" spans="1:6" x14ac:dyDescent="0.3">
      <c r="A21" s="18"/>
      <c r="B21" s="3" t="s">
        <v>114</v>
      </c>
      <c r="C21">
        <f>'Financial Statements'!B22+'Financial Statements'!B113+'Financial Statements'!B114</f>
        <v>122241</v>
      </c>
      <c r="D21">
        <f>'Financial Statements'!C22+'Financial Statements'!C113+'Financial Statements'!C114</f>
        <v>122752</v>
      </c>
      <c r="E21">
        <f>'Financial Statements'!D22+'Financial Statements'!D113+'Financial Statements'!D114</f>
        <v>69914</v>
      </c>
      <c r="F21" t="s">
        <v>157</v>
      </c>
    </row>
    <row r="22" spans="1:6" x14ac:dyDescent="0.3">
      <c r="A22" s="18">
        <f>+A20+0.1</f>
        <v>2.4000000000000004</v>
      </c>
      <c r="B22" s="1" t="s">
        <v>115</v>
      </c>
      <c r="C22">
        <f>('Financial Statements'!B22/'Financial Statements'!B8)*100</f>
        <v>25.309640705199733</v>
      </c>
      <c r="D22">
        <f>('Financial Statements'!C22/'Financial Statements'!C8)*100</f>
        <v>25.881793355694239</v>
      </c>
      <c r="E22">
        <f>('Financial Statements'!D22/'Financial Statements'!D8)*100</f>
        <v>20.913611278072235</v>
      </c>
    </row>
    <row r="23" spans="1:6" x14ac:dyDescent="0.3">
      <c r="A23" s="18"/>
    </row>
    <row r="24" spans="1:6" x14ac:dyDescent="0.3">
      <c r="A24" s="18">
        <f>+A16+1</f>
        <v>3</v>
      </c>
      <c r="B24" s="7" t="s">
        <v>116</v>
      </c>
    </row>
    <row r="25" spans="1:6" x14ac:dyDescent="0.3">
      <c r="A25" s="18">
        <f>+A24+0.1</f>
        <v>3.1</v>
      </c>
      <c r="B25" s="1" t="s">
        <v>117</v>
      </c>
      <c r="C25">
        <f>'Financial Statements'!B62/'Financial Statements'!B68</f>
        <v>5.9615369434796337</v>
      </c>
      <c r="D25">
        <f>'Financial Statements'!C62/'Financial Statements'!C68</f>
        <v>4.5635124425423994</v>
      </c>
      <c r="E25">
        <f>'Financial Statements'!D62/'Financial Statements'!D68</f>
        <v>3.9570394404566951</v>
      </c>
      <c r="F25" t="s">
        <v>159</v>
      </c>
    </row>
    <row r="26" spans="1:6" x14ac:dyDescent="0.3">
      <c r="A26" s="18">
        <f t="shared" ref="A26:A30" si="1">+A25+0.1</f>
        <v>3.2</v>
      </c>
      <c r="B26" s="1" t="s">
        <v>118</v>
      </c>
      <c r="C26">
        <f>'Financial Statements'!B62/'Financial Statements'!B48</f>
        <v>0.85635355983614692</v>
      </c>
      <c r="D26">
        <f>'Financial Statements'!C62/'Financial Statements'!C48</f>
        <v>0.82025743443057308</v>
      </c>
      <c r="E26">
        <f>'Financial Statements'!D62/'Financial Statements'!D48</f>
        <v>0.79826668477992391</v>
      </c>
      <c r="F26" t="s">
        <v>159</v>
      </c>
    </row>
    <row r="27" spans="1:6" x14ac:dyDescent="0.3">
      <c r="A27" s="18">
        <f t="shared" si="1"/>
        <v>3.3000000000000003</v>
      </c>
      <c r="B27" s="1" t="s">
        <v>119</v>
      </c>
      <c r="F27" t="s">
        <v>175</v>
      </c>
    </row>
    <row r="28" spans="1:6" x14ac:dyDescent="0.3">
      <c r="A28" s="18">
        <f t="shared" si="1"/>
        <v>3.4000000000000004</v>
      </c>
      <c r="B28" s="1" t="s">
        <v>120</v>
      </c>
      <c r="F28" t="s">
        <v>160</v>
      </c>
    </row>
    <row r="29" spans="1:6" x14ac:dyDescent="0.3">
      <c r="A29" s="18">
        <f t="shared" si="1"/>
        <v>3.5000000000000004</v>
      </c>
      <c r="B29" s="1" t="s">
        <v>121</v>
      </c>
      <c r="F29" t="s">
        <v>161</v>
      </c>
    </row>
    <row r="30" spans="1:6" x14ac:dyDescent="0.3">
      <c r="A30" s="18">
        <f t="shared" si="1"/>
        <v>3.6000000000000005</v>
      </c>
      <c r="B30" s="1" t="s">
        <v>122</v>
      </c>
      <c r="F30" t="s">
        <v>163</v>
      </c>
    </row>
    <row r="31" spans="1:6" x14ac:dyDescent="0.3">
      <c r="A31" s="18"/>
      <c r="B31" s="3" t="s">
        <v>123</v>
      </c>
      <c r="F31" t="s">
        <v>162</v>
      </c>
    </row>
    <row r="32" spans="1:6" x14ac:dyDescent="0.3">
      <c r="A32" s="18"/>
    </row>
    <row r="33" spans="1:16" x14ac:dyDescent="0.3">
      <c r="A33" s="18">
        <f>+A24+1</f>
        <v>4</v>
      </c>
      <c r="B33" s="17" t="s">
        <v>124</v>
      </c>
    </row>
    <row r="34" spans="1:16" x14ac:dyDescent="0.3">
      <c r="A34" s="18">
        <f>+A33+0.1</f>
        <v>4.0999999999999996</v>
      </c>
      <c r="B34" s="1" t="s">
        <v>125</v>
      </c>
      <c r="C34" s="23">
        <f>'Financial Statements'!B8/'Financial Statements'!B48</f>
        <v>1.1178523337727317</v>
      </c>
      <c r="D34" s="23">
        <f>'Financial Statements'!C8/'Financial Statements'!C48</f>
        <v>1.0422077367080529</v>
      </c>
      <c r="E34" s="23">
        <f>'Financial Statements'!D8/'Financial Statements'!D48</f>
        <v>0.84756150274168851</v>
      </c>
    </row>
    <row r="35" spans="1:16" x14ac:dyDescent="0.3">
      <c r="A35" s="18">
        <f t="shared" ref="A35:A37" si="2">+A34+0.1</f>
        <v>4.1999999999999993</v>
      </c>
      <c r="B35" s="1" t="s">
        <v>126</v>
      </c>
      <c r="C35">
        <f>SUM('Financial Statements'!B8/'Financial Statements'!B47)</f>
        <v>1.8142535081665516</v>
      </c>
      <c r="D35">
        <f>SUM('Financial Statements'!C8/'Financial Statements'!C47)</f>
        <v>1.6922966608994938</v>
      </c>
      <c r="E35">
        <f>SUM('Financial Statements'!D8/'Financial Statements'!D47)</f>
        <v>1.5236020535590398</v>
      </c>
    </row>
    <row r="36" spans="1:16" x14ac:dyDescent="0.3">
      <c r="A36" s="18">
        <f t="shared" si="2"/>
        <v>4.2999999999999989</v>
      </c>
      <c r="B36" s="1" t="s">
        <v>127</v>
      </c>
      <c r="C36">
        <f>'Financial Statements'!B12/'Financial Statements'!B39</f>
        <v>45.197331176708452</v>
      </c>
      <c r="D36">
        <f>'Financial Statements'!C12/'Financial Statements'!C39</f>
        <v>32.367933130699086</v>
      </c>
      <c r="E36">
        <f>'Financial Statements'!D12/'Financial Statements'!D39</f>
        <v>41.753016498399411</v>
      </c>
    </row>
    <row r="37" spans="1:16" x14ac:dyDescent="0.3">
      <c r="A37" s="18">
        <f t="shared" si="2"/>
        <v>4.3999999999999986</v>
      </c>
      <c r="B37" s="1" t="s">
        <v>128</v>
      </c>
      <c r="C37">
        <f>SUM('Financial Statements'!B8/'Financial Statements'!B48)</f>
        <v>1.1178523337727317</v>
      </c>
      <c r="D37">
        <f>SUM('Financial Statements'!C8/'Financial Statements'!C48)</f>
        <v>1.0422077367080529</v>
      </c>
      <c r="E37">
        <f>SUM('Financial Statements'!D8/'Financial Statements'!D48)</f>
        <v>0.84756150274168851</v>
      </c>
      <c r="F37" t="s">
        <v>164</v>
      </c>
    </row>
    <row r="38" spans="1:16" x14ac:dyDescent="0.3">
      <c r="A38" s="18"/>
    </row>
    <row r="39" spans="1:16" x14ac:dyDescent="0.3">
      <c r="A39" s="18">
        <f>+A33+1</f>
        <v>5</v>
      </c>
      <c r="B39" s="17" t="s">
        <v>129</v>
      </c>
    </row>
    <row r="40" spans="1:16" ht="34.200000000000003" customHeight="1" x14ac:dyDescent="0.3">
      <c r="A40" s="18">
        <f>+A39+0.1</f>
        <v>5.0999999999999996</v>
      </c>
      <c r="B40" s="1" t="s">
        <v>130</v>
      </c>
      <c r="C40">
        <f>L40/'Financial Statements'!B24</f>
        <v>28.803252032520323</v>
      </c>
      <c r="D40">
        <f>L40/'Financial Statements'!C24</f>
        <v>31.241622574955905</v>
      </c>
      <c r="E40">
        <f>L40/'Financial Statements'!D24</f>
        <v>53.516616314199389</v>
      </c>
      <c r="K40" s="24" t="s">
        <v>150</v>
      </c>
      <c r="L40" s="25">
        <v>177.14</v>
      </c>
    </row>
    <row r="41" spans="1:16" x14ac:dyDescent="0.3">
      <c r="A41" s="18">
        <f t="shared" ref="A41:A44" si="3">+A40+0.1</f>
        <v>5.1999999999999993</v>
      </c>
      <c r="B41" s="3" t="s">
        <v>131</v>
      </c>
      <c r="C41" s="10">
        <f>'Financial Statements'!B24</f>
        <v>6.15</v>
      </c>
      <c r="D41" s="10">
        <f>'Financial Statements'!C24</f>
        <v>5.67</v>
      </c>
      <c r="E41" s="10">
        <f>'Financial Statements'!D24</f>
        <v>3.31</v>
      </c>
      <c r="F41" t="s">
        <v>165</v>
      </c>
    </row>
    <row r="42" spans="1:16" x14ac:dyDescent="0.3">
      <c r="A42" s="18">
        <f t="shared" si="3"/>
        <v>5.2999999999999989</v>
      </c>
      <c r="B42" s="1" t="s">
        <v>132</v>
      </c>
      <c r="F42" t="s">
        <v>166</v>
      </c>
    </row>
    <row r="43" spans="1:16" x14ac:dyDescent="0.3">
      <c r="A43" s="18">
        <f t="shared" si="3"/>
        <v>5.3999999999999986</v>
      </c>
      <c r="B43" s="3" t="s">
        <v>133</v>
      </c>
      <c r="F43" t="s">
        <v>171</v>
      </c>
    </row>
    <row r="44" spans="1:16" x14ac:dyDescent="0.3">
      <c r="A44" s="18">
        <f t="shared" si="3"/>
        <v>5.4999999999999982</v>
      </c>
      <c r="B44" s="1" t="s">
        <v>134</v>
      </c>
      <c r="C44">
        <f>(K44/'Financial Statements'!B22)*100</f>
        <v>14.870294480125848</v>
      </c>
      <c r="D44">
        <f>(L44/'Financial Statements'!C22)*100</f>
        <v>15.279890156316011</v>
      </c>
      <c r="E44">
        <f>(M44/'Financial Statements'!D22)*100</f>
        <v>24.526658654264864</v>
      </c>
      <c r="F44" t="s">
        <v>167</v>
      </c>
      <c r="K44">
        <v>14841</v>
      </c>
      <c r="L44">
        <v>14467</v>
      </c>
      <c r="M44">
        <v>14081</v>
      </c>
    </row>
    <row r="45" spans="1:16" x14ac:dyDescent="0.3">
      <c r="A45" s="18"/>
      <c r="B45" s="3" t="s">
        <v>135</v>
      </c>
      <c r="F45" t="s">
        <v>172</v>
      </c>
    </row>
    <row r="46" spans="1:16" x14ac:dyDescent="0.3">
      <c r="A46" s="18">
        <f>+A44+0.1</f>
        <v>5.5999999999999979</v>
      </c>
      <c r="B46" s="1" t="s">
        <v>136</v>
      </c>
      <c r="F46" t="s">
        <v>168</v>
      </c>
    </row>
    <row r="47" spans="1:16" x14ac:dyDescent="0.3">
      <c r="A47" s="18">
        <f t="shared" ref="A47:A50" si="4">+A45+0.1</f>
        <v>0.1</v>
      </c>
      <c r="B47" s="1" t="s">
        <v>137</v>
      </c>
      <c r="C47">
        <f>'Financial Statements'!B22/'List of Ratios'!L47</f>
        <v>1.6717327094767753</v>
      </c>
      <c r="D47">
        <f>'Financial Statements'!C22/'List of Ratios'!L47</f>
        <v>1.5859207932954029</v>
      </c>
      <c r="E47">
        <f>'Financial Statements'!D22/'List of Ratios'!L47</f>
        <v>0.96165292209423714</v>
      </c>
      <c r="F47" t="s">
        <v>173</v>
      </c>
      <c r="L47" cm="1">
        <f t="array" ref="L47">SUM('Financial Statements'!B68:D68/3)</f>
        <v>59700.333333333343</v>
      </c>
    </row>
    <row r="48" spans="1:16" x14ac:dyDescent="0.3">
      <c r="A48" s="18">
        <f t="shared" si="4"/>
        <v>5.6999999999999975</v>
      </c>
      <c r="B48" s="1" t="s">
        <v>138</v>
      </c>
      <c r="C48">
        <f>(N48*100)/K48</f>
        <v>95.580185659411015</v>
      </c>
      <c r="D48">
        <f>(O48*100)/L48</f>
        <v>106.54533719292755</v>
      </c>
      <c r="E48">
        <f>(P48*100)/M48</f>
        <v>78.004236290891981</v>
      </c>
      <c r="F48" t="s">
        <v>174</v>
      </c>
      <c r="K48">
        <f>'Financial Statements'!B51+'Financial Statements'!B52</f>
        <v>124960</v>
      </c>
      <c r="L48">
        <f>'Financial Statements'!C51+'Financial Statements'!C52</f>
        <v>102256</v>
      </c>
      <c r="M48">
        <f>'Financial Statements'!D51+'Financial Statements'!D52</f>
        <v>84980</v>
      </c>
      <c r="N48">
        <f>('Financial Statements'!B8-'Financial Statements'!B12)-'Financial Statements'!B17</f>
        <v>119437</v>
      </c>
      <c r="O48">
        <f>('Financial Statements'!C8-'Financial Statements'!C12)-'Financial Statements'!C17</f>
        <v>108949</v>
      </c>
      <c r="P48">
        <f>('Financial Statements'!D8-'Financial Statements'!D12)-'Financial Statements'!D17</f>
        <v>66288</v>
      </c>
    </row>
    <row r="49" spans="1:11" x14ac:dyDescent="0.3">
      <c r="A49" s="18">
        <f t="shared" si="4"/>
        <v>0.2</v>
      </c>
      <c r="B49" s="1" t="s">
        <v>128</v>
      </c>
      <c r="C49">
        <f>'Financial Statements'!B22/'List of Ratios'!K49</f>
        <v>0.2913545047170959</v>
      </c>
      <c r="D49">
        <f>'Financial Statements'!C22/'List of Ratios'!K49</f>
        <v>0.27639895099961564</v>
      </c>
      <c r="E49">
        <f>'Financial Statements'!D22/'List of Ratios'!K49</f>
        <v>0.16759970612419658</v>
      </c>
      <c r="F49" t="s">
        <v>164</v>
      </c>
      <c r="K49">
        <f>SUM('Financial Statements'!B48:D48)/3</f>
        <v>342548.33333333331</v>
      </c>
    </row>
    <row r="50" spans="1:11" x14ac:dyDescent="0.3">
      <c r="A50" s="18">
        <f t="shared" si="4"/>
        <v>5.7999999999999972</v>
      </c>
      <c r="B50" s="1" t="s">
        <v>139</v>
      </c>
      <c r="F50" t="s">
        <v>169</v>
      </c>
    </row>
    <row r="51" spans="1:11" x14ac:dyDescent="0.3">
      <c r="A51" s="18"/>
      <c r="B51" s="3" t="s">
        <v>140</v>
      </c>
      <c r="F51" t="s">
        <v>170</v>
      </c>
      <c r="K51" s="24"/>
    </row>
    <row r="54" spans="1:11" x14ac:dyDescent="0.3">
      <c r="F54" s="7" t="s">
        <v>177</v>
      </c>
    </row>
  </sheetData>
  <mergeCells count="1">
    <mergeCell ref="C2:E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cp:lastPrinted>2023-10-09T17:32:35Z</cp:lastPrinted>
  <dcterms:created xsi:type="dcterms:W3CDTF">2020-05-18T16:32:37Z</dcterms:created>
  <dcterms:modified xsi:type="dcterms:W3CDTF">2023-10-23T17:30:08Z</dcterms:modified>
</cp:coreProperties>
</file>