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"/>
    </mc:Choice>
  </mc:AlternateContent>
  <xr:revisionPtr revIDLastSave="0" documentId="13_ncr:1_{1BE3E6D3-6B05-4098-8B45-626661B7212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Additional Item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D31" i="3"/>
  <c r="E31" i="3"/>
  <c r="D7" i="5" l="1"/>
  <c r="E7" i="5"/>
  <c r="C7" i="5"/>
  <c r="C6" i="5"/>
  <c r="D6" i="5"/>
  <c r="E6" i="5"/>
  <c r="C51" i="3"/>
  <c r="D51" i="3"/>
  <c r="E51" i="3"/>
  <c r="C48" i="3"/>
  <c r="D48" i="3"/>
  <c r="E48" i="3"/>
  <c r="E46" i="3"/>
  <c r="C45" i="3"/>
  <c r="D45" i="3"/>
  <c r="E45" i="3"/>
  <c r="C44" i="3"/>
  <c r="D44" i="3"/>
  <c r="E44" i="3"/>
  <c r="C43" i="3"/>
  <c r="D43" i="3"/>
  <c r="E43" i="3"/>
  <c r="C34" i="3"/>
  <c r="D34" i="3"/>
  <c r="E34" i="3"/>
  <c r="C30" i="3"/>
  <c r="D30" i="3"/>
  <c r="E30" i="3"/>
  <c r="D29" i="3"/>
  <c r="C29" i="3"/>
  <c r="E29" i="3"/>
  <c r="D25" i="3"/>
  <c r="C25" i="3"/>
  <c r="E25" i="3"/>
  <c r="D21" i="3"/>
  <c r="C21" i="3"/>
  <c r="E21" i="3"/>
  <c r="C13" i="3" l="1"/>
  <c r="D13" i="3"/>
  <c r="E13" i="3"/>
  <c r="C12" i="3"/>
  <c r="D12" i="3"/>
  <c r="E12" i="3"/>
  <c r="C8" i="3"/>
  <c r="D8" i="3"/>
  <c r="E8" i="3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5" i="4"/>
  <c r="C25" i="4"/>
  <c r="C24" i="4"/>
  <c r="D23" i="4"/>
  <c r="D24" i="4"/>
  <c r="C23" i="4"/>
  <c r="D22" i="4"/>
  <c r="C22" i="4"/>
  <c r="D21" i="4"/>
  <c r="C21" i="4"/>
  <c r="D20" i="4"/>
  <c r="C20" i="4"/>
  <c r="D19" i="4"/>
  <c r="C19" i="4"/>
  <c r="D18" i="4"/>
  <c r="C18" i="4"/>
  <c r="D15" i="4"/>
  <c r="C15" i="4"/>
  <c r="D14" i="4"/>
  <c r="C14" i="4"/>
  <c r="D13" i="4"/>
  <c r="C13" i="4"/>
  <c r="D10" i="4"/>
  <c r="C10" i="4"/>
  <c r="D7" i="4"/>
  <c r="C7" i="4"/>
  <c r="D6" i="4"/>
  <c r="C6" i="4"/>
  <c r="D5" i="4"/>
  <c r="C5" i="4"/>
  <c r="C5" i="5"/>
  <c r="D5" i="5"/>
  <c r="E5" i="5"/>
  <c r="E3" i="5"/>
  <c r="D3" i="5"/>
  <c r="C3" i="5"/>
  <c r="D3" i="4"/>
  <c r="C3" i="4"/>
  <c r="C50" i="3"/>
  <c r="D50" i="3"/>
  <c r="E50" i="3"/>
  <c r="D49" i="3"/>
  <c r="E49" i="3"/>
  <c r="C49" i="3"/>
  <c r="C47" i="3"/>
  <c r="D47" i="3"/>
  <c r="E47" i="3"/>
  <c r="C46" i="3"/>
  <c r="D46" i="3"/>
  <c r="C42" i="3"/>
  <c r="D42" i="3"/>
  <c r="E42" i="3"/>
  <c r="C41" i="3"/>
  <c r="D41" i="3"/>
  <c r="E41" i="3"/>
  <c r="E40" i="3"/>
  <c r="D40" i="3"/>
  <c r="C40" i="3"/>
  <c r="C37" i="3"/>
  <c r="D37" i="3"/>
  <c r="E37" i="3"/>
  <c r="C36" i="3"/>
  <c r="D36" i="3"/>
  <c r="C35" i="3"/>
  <c r="D35" i="3"/>
  <c r="C28" i="3"/>
  <c r="D28" i="3"/>
  <c r="E28" i="3"/>
  <c r="C27" i="3"/>
  <c r="D27" i="3"/>
  <c r="E27" i="3"/>
  <c r="E26" i="3"/>
  <c r="C26" i="3"/>
  <c r="D26" i="3"/>
  <c r="C22" i="3"/>
  <c r="D22" i="3"/>
  <c r="E19" i="3"/>
  <c r="E18" i="3" s="1"/>
  <c r="E22" i="3"/>
  <c r="C20" i="3"/>
  <c r="D20" i="3"/>
  <c r="E20" i="3"/>
  <c r="C18" i="3"/>
  <c r="D18" i="3"/>
  <c r="C19" i="3"/>
  <c r="D19" i="3"/>
  <c r="C17" i="3"/>
  <c r="D17" i="3"/>
  <c r="E17" i="3"/>
  <c r="C14" i="3"/>
  <c r="D14" i="3"/>
  <c r="E14" i="3"/>
  <c r="C11" i="3"/>
  <c r="D11" i="3"/>
  <c r="E11" i="3"/>
  <c r="C10" i="3"/>
  <c r="D10" i="3"/>
  <c r="E10" i="3"/>
  <c r="C9" i="3"/>
  <c r="D9" i="3"/>
  <c r="E9" i="3"/>
  <c r="C7" i="3"/>
  <c r="D7" i="3"/>
  <c r="E7" i="3"/>
  <c r="E5" i="3"/>
  <c r="C5" i="3"/>
  <c r="D5" i="3"/>
  <c r="C6" i="3"/>
  <c r="D6" i="3"/>
  <c r="E6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<sst xmlns="http://schemas.openxmlformats.org/spreadsheetml/2006/main" count="208" uniqueCount="157">
  <si>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</si>
  <si>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</si>
  <si>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</si>
  <si>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</si>
  <si>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</si>
  <si>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</si>
  <si>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</si>
  <si>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</si>
  <si>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</si>
  <si>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</si>
  <si>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</si>
  <si>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</si>
  <si>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</si>
  <si>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</si>
  <si>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</si>
  <si>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</si>
  <si>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</si>
  <si>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</si>
  <si>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</si>
  <si>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</si>
  <si>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</si>
  <si>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</si>
  <si>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</si>
  <si>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</si>
  <si>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</si>
  <si>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</si>
  <si>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</si>
  <si>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</si>
  <si>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</si>
  <si>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</si>
  <si>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</si>
  <si>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</si>
  <si>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</si>
  <si>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</si>
  <si>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</si>
  <si>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</si>
  <si>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</si>
  <si>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</si>
  <si>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</si>
  <si>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</si>
  <si>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</si>
  <si>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</si>
  <si>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</si>
  <si>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</si>
  <si>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</si>
  <si>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</si>
  <si>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</si>
  <si>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</si>
  <si>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</si>
  <si>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</si>
  <si>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</si>
  <si>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</si>
  <si>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</si>
  <si>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</si>
  <si>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</si>
  <si>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</si>
  <si>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</si>
  <si>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</si>
  <si>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</si>
  <si>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</si>
  <si>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</si>
  <si>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</si>
  <si>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</si>
  <si>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</si>
  <si>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</si>
  <si>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</si>
  <si>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</si>
  <si>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</si>
  <si>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</si>
  <si>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</si>
  <si>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</si>
  <si>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</si>
  <si>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</si>
  <si>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</si>
  <si>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</si>
  <si>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</si>
  <si>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</si>
  <si>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</si>
  <si>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</si>
  <si>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</si>
  <si>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</si>
  <si>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</si>
  <si>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</si>
  <si>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</si>
  <si>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</si>
  <si>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</si>
  <si>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</si>
  <si>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</si>
  <si>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</si>
  <si>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</si>
  <si>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</si>
  <si>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</si>
  <si>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</si>
  <si>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</si>
  <si>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</si>
  <si>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</si>
  <si>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</si>
  <si>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</si>
  <si>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</si>
  <si>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</si>
  <si>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</si>
  <si>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</si>
  <si>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</si>
  <si>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</si>
  <si>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</si>
  <si>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</si>
  <si>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</si>
  <si>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</si>
  <si>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</si>
  <si>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</si>
  <si>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</si>
  <si>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</si>
  <si>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</si>
  <si>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</si>
  <si>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</si>
  <si>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</si>
  <si>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</si>
  <si>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</si>
  <si>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</si>
  <si>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</si>
  <si>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</si>
  <si>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</si>
  <si>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</si>
  <si>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</si>
  <si>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</si>
  <si>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</si>
  <si>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</si>
  <si>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</si>
  <si>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</si>
  <si>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</si>
  <si>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</si>
  <si>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</si>
  <si>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</si>
  <si>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</si>
  <si>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</si>
  <si>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</si>
  <si>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</si>
  <si>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</si>
  <si>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</si>
  <si>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</si>
  <si>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</si>
  <si>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</si>
  <si>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</si>
  <si>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</si>
  <si>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</si>
  <si>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</si>
  <si>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</si>
  <si>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</si>
  <si>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</si>
  <si>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</si>
  <si>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</t>
  </si>
  <si>
    <t>Sales</t>
  </si>
  <si>
    <t>Gross Profit</t>
  </si>
  <si>
    <t>Operating Expenses</t>
  </si>
  <si>
    <t>Balance Sheet</t>
  </si>
  <si>
    <t>Margins as a % of net sales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</si>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</sst>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1" applyFont="1"/>
    <xf numFmtId="9" fontId="0" fillId="0" borderId="0" xfId="3" applyFont="1"/>
    <xf numFmtId="0" fontId="8" fillId="2" borderId="0" xfId="0" applyFont="1" applyFill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Comma 2" xfId="4" xr:uid="{748C7AE6-B158-4019-9A07-DDC76360781A}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2" sqref="A22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7" workbookViewId="0">
      <selection activeCell="B96" sqref="B9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9" t="s">
        <v>1</v>
      </c>
      <c r="B2" s="29"/>
      <c r="C2" s="29"/>
      <c r="D2" s="29"/>
    </row>
    <row r="3" spans="1:10" x14ac:dyDescent="0.3">
      <c r="B3" s="28" t="s">
        <v>23</v>
      </c>
      <c r="C3" s="28"/>
      <c r="D3" s="2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9" t="s">
        <v>24</v>
      </c>
      <c r="B31" s="29"/>
      <c r="C31" s="29"/>
      <c r="D31" s="29"/>
    </row>
    <row r="32" spans="1:4" x14ac:dyDescent="0.3">
      <c r="B32" s="28" t="s">
        <v>142</v>
      </c>
      <c r="C32" s="28"/>
      <c r="D32" s="28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9" t="s">
        <v>55</v>
      </c>
      <c r="B71" s="29"/>
      <c r="C71" s="29"/>
      <c r="D71" s="29"/>
    </row>
    <row r="72" spans="1:4" x14ac:dyDescent="0.3">
      <c r="B72" s="28" t="s">
        <v>23</v>
      </c>
      <c r="C72" s="28"/>
      <c r="D72" s="28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/>
  </sheetViews>
  <sheetFormatPr defaultRowHeight="14.4" x14ac:dyDescent="0.3"/>
  <cols>
    <col min="1" max="1" width="4.6640625" customWidth="1"/>
    <col min="2" max="2" width="44.88671875" customWidth="1"/>
    <col min="3" max="5" width="16.109375" bestFit="1" customWidth="1"/>
    <col min="6" max="6" width="38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5"/>
      <c r="G1" s="19"/>
      <c r="H1" s="19"/>
      <c r="I1" s="19"/>
      <c r="J1" s="19"/>
    </row>
    <row r="2" spans="1:10" x14ac:dyDescent="0.3">
      <c r="C2" s="28" t="s">
        <v>23</v>
      </c>
      <c r="D2" s="28"/>
      <c r="E2" s="28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3">
        <f>'Financial Statements'!B42/(('Financial Statements'!B17-'Financial Statements'!B79)/365)</f>
        <v>1228.1708953554833</v>
      </c>
      <c r="D8" s="23">
        <f>'Financial Statements'!C42/(('Financial Statements'!C17-'Financial Statements'!C79)/365)</f>
        <v>1509.5279575499187</v>
      </c>
      <c r="E8" s="23">
        <f>'Financial Statements'!D42/(('Financial Statements'!D17-'Financial Statements'!D79)/365)</f>
        <v>1899.7263870780819</v>
      </c>
    </row>
    <row r="9" spans="1:10" x14ac:dyDescent="0.3">
      <c r="A9" s="18">
        <f t="shared" si="0"/>
        <v>1.5000000000000004</v>
      </c>
      <c r="B9" s="1" t="s">
        <v>104</v>
      </c>
      <c r="C9" s="23">
        <f>365/('Financial Statements'!B10/'Financial Statements'!B39)</f>
        <v>8.9605451901266182</v>
      </c>
      <c r="D9" s="23">
        <f>365/('Financial Statements'!C10/'Financial Statements'!C39)</f>
        <v>12.491548167642746</v>
      </c>
      <c r="E9" s="23">
        <f>365/('Financial Statements'!D10/'Financial Statements'!D39)</f>
        <v>9.797767143027114</v>
      </c>
    </row>
    <row r="10" spans="1:10" x14ac:dyDescent="0.3">
      <c r="A10" s="18">
        <f t="shared" si="0"/>
        <v>1.6000000000000005</v>
      </c>
      <c r="B10" s="1" t="s">
        <v>105</v>
      </c>
      <c r="C10" s="23">
        <f>('Financial Statements'!B51*365)/'Financial Statements'!B12</f>
        <v>104.68527730310539</v>
      </c>
      <c r="D10" s="23">
        <f>('Financial Statements'!C51*365)/'Financial Statements'!C12</f>
        <v>93.85107122231561</v>
      </c>
      <c r="E10" s="23">
        <f>('Financial Statements'!D51*365)/'Financial Statements'!D12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3">
        <f>('Financial Statements'!B38/'Financial Statements'!B8)*365</f>
        <v>26.087825363656648</v>
      </c>
      <c r="D11" s="23">
        <f>('Financial Statements'!C38/'Financial Statements'!C8)*365</f>
        <v>26.219311841713207</v>
      </c>
      <c r="E11" s="23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12">
        <f t="shared" ref="C12:D12" si="1">C9+C11-C10</f>
        <v>-69.636906749322122</v>
      </c>
      <c r="D12" s="12">
        <f t="shared" si="1"/>
        <v>-55.140211212959656</v>
      </c>
      <c r="E12" s="12">
        <f>E9+E11-E10</f>
        <v>-59.816985419850319</v>
      </c>
    </row>
    <row r="13" spans="1:10" x14ac:dyDescent="0.3">
      <c r="A13" s="18">
        <f t="shared" si="0"/>
        <v>1.9000000000000008</v>
      </c>
      <c r="B13" s="1" t="s">
        <v>108</v>
      </c>
      <c r="C13" s="27">
        <f>(C14/'Financial Statements'!B8)</f>
        <v>-4.711052727678481E-2</v>
      </c>
      <c r="D13" s="27">
        <f>(D14/'Financial Statements'!C8)</f>
        <v>2.557289573748623E-2</v>
      </c>
      <c r="E13" s="27">
        <f>(E14/'Financial Statements'!D8)</f>
        <v>0.13959528623208203</v>
      </c>
    </row>
    <row r="14" spans="1:10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4">
        <f>('Financial Statements'!B8-'Financial Statements'!B12)/'Financial Statements'!B8</f>
        <v>0.43309630561360085</v>
      </c>
      <c r="D17" s="24">
        <f>('Financial Statements'!C8-'Financial Statements'!C12)/'Financial Statements'!C8</f>
        <v>0.41779359625167778</v>
      </c>
      <c r="E17" s="24">
        <f>('Financial Statements'!D8-'Financial Statements'!D12)/'Financial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24">
        <f>C19/'Financial Statements'!B8</f>
        <v>0.3310467428130896</v>
      </c>
      <c r="D18" s="24">
        <f>D19/'Financial Statements'!C8</f>
        <v>0.32866979938056462</v>
      </c>
      <c r="E18" s="24">
        <f>E19/'Financial Statements'!D8</f>
        <v>0.2817478097736007</v>
      </c>
    </row>
    <row r="19" spans="1:5" x14ac:dyDescent="0.3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</row>
    <row r="20" spans="1:5" x14ac:dyDescent="0.3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5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5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 s="23">
        <f>'Financial Statements'!B59/'Financial Statements'!B68</f>
        <v>1.9529325860435744</v>
      </c>
      <c r="D25" s="23">
        <f>'Financial Statements'!C59/'Financial Statements'!C68</f>
        <v>1.729370740212395</v>
      </c>
      <c r="E25" s="23">
        <f>'Financial Statements'!D59/'Financial Statements'!D68</f>
        <v>1.5100782075024104</v>
      </c>
    </row>
    <row r="26" spans="1:5" x14ac:dyDescent="0.3">
      <c r="A26" s="18">
        <f t="shared" ref="A26:A30" si="2">+A25+0.1</f>
        <v>3.2</v>
      </c>
      <c r="B26" s="1" t="s">
        <v>118</v>
      </c>
      <c r="C26" s="23">
        <f>('Financial Statements'!B55+'Financial Statements'!B59)/'Financial Statements'!B69</f>
        <v>0.31207778769967826</v>
      </c>
      <c r="D26" s="23">
        <f>('Financial Statements'!C55+'Financial Statements'!C59)/'Financial Statements'!C69</f>
        <v>0.33822884200090025</v>
      </c>
      <c r="E26" s="23">
        <f>('Financial Statements'!D55+'Financial Statements'!D59)/'Financial Statements'!D69</f>
        <v>0.33171960677765155</v>
      </c>
    </row>
    <row r="27" spans="1:5" x14ac:dyDescent="0.3">
      <c r="A27" s="18">
        <f t="shared" si="2"/>
        <v>3.3000000000000003</v>
      </c>
      <c r="B27" s="1" t="s">
        <v>119</v>
      </c>
      <c r="C27" s="23">
        <f>('Financial Statements'!B55+'Financial Statements'!B59)/('Financial Statements'!B55+'Financial Statements'!B59+'Financial Statements'!B69)</f>
        <v>0.23785006546510473</v>
      </c>
      <c r="D27" s="23">
        <f>('Financial Statements'!C55+'Financial Statements'!C59)/('Financial Statements'!C55+'Financial Statements'!C59+'Financial Statements'!C69)</f>
        <v>0.2527436499539088</v>
      </c>
      <c r="E27" s="23">
        <f>('Financial Statements'!D55+'Financial Statements'!D59)/('Financial Statements'!D55+'Financial Statements'!D59+'Financial Statements'!D69)</f>
        <v>0.24909117887083612</v>
      </c>
    </row>
    <row r="28" spans="1:5" x14ac:dyDescent="0.3">
      <c r="A28" s="18">
        <f t="shared" si="2"/>
        <v>3.4000000000000004</v>
      </c>
      <c r="B28" s="1" t="s">
        <v>120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</row>
    <row r="29" spans="1:5" x14ac:dyDescent="0.3">
      <c r="A29" s="18">
        <f t="shared" si="2"/>
        <v>3.5000000000000004</v>
      </c>
      <c r="B29" s="1" t="s">
        <v>121</v>
      </c>
      <c r="C29" s="23">
        <f>C21/('Financial Statements'!B114+'Financial Statements'!B105)</f>
        <v>-17.88514525306978</v>
      </c>
      <c r="D29" s="23">
        <f>D21/('Financial Statements'!C114+'Financial Statements'!C105)</f>
        <v>-17.969487052614216</v>
      </c>
      <c r="E29" s="23">
        <f>E21/('Financial Statements'!D114+'Financial Statements'!D105)</f>
        <v>-6.8856341539420383</v>
      </c>
    </row>
    <row r="30" spans="1:5" x14ac:dyDescent="0.3">
      <c r="A30" s="18">
        <f t="shared" si="2"/>
        <v>3.6000000000000005</v>
      </c>
      <c r="B30" s="1" t="s">
        <v>122</v>
      </c>
      <c r="C30">
        <f>C31/'Financial Statements'!B28</f>
        <v>7.1609271179595953E-3</v>
      </c>
      <c r="D30">
        <f>D31/'Financial Statements'!C28</f>
        <v>6.7208149650763221E-3</v>
      </c>
      <c r="E30">
        <f>E31/'Financial Statements'!D28</f>
        <v>5.1035433501667657E-3</v>
      </c>
    </row>
    <row r="31" spans="1:5" x14ac:dyDescent="0.3">
      <c r="A31" s="18"/>
      <c r="B31" s="3" t="s">
        <v>123</v>
      </c>
      <c r="C31">
        <f>'Financial Statements'!B91+'Financial Statements'!B96+'Financial Statements'!B104</f>
        <v>116908</v>
      </c>
      <c r="D31">
        <f>'Financial Statements'!C91+'Financial Statements'!C96+'Financial Statements'!C104</f>
        <v>113346</v>
      </c>
      <c r="E31">
        <f>'Financial Statements'!D91+'Financial Statements'!D96+'Financial Statements'!D104</f>
        <v>89456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 s="23">
        <f>'Financial Statements'!B48/'Financial Statements'!B8</f>
        <v>0.8945725385973099</v>
      </c>
      <c r="D34" s="23">
        <f>'Financial Statements'!C48/'Financial Statements'!C8</f>
        <v>0.95950160872786117</v>
      </c>
      <c r="E34" s="23">
        <f>'Financial Statements'!D48/'Financial Statements'!D8</f>
        <v>1.1798553813088537</v>
      </c>
    </row>
    <row r="35" spans="1:5" x14ac:dyDescent="0.3">
      <c r="A35" s="18">
        <f t="shared" ref="A35:A37" si="3">+A34+0.1</f>
        <v>4.1999999999999993</v>
      </c>
      <c r="B35" s="1" t="s">
        <v>126</v>
      </c>
      <c r="C35" s="23">
        <f>'Financial Statements'!B8/(('Financial Statements'!B45+'Financial Statements'!C45)/2)</f>
        <v>9.6699976703409884</v>
      </c>
      <c r="D35" s="23">
        <f>'Financial Statements'!C8/(('Financial Statements'!C45+'Financial Statements'!D45)/2)</f>
        <v>9.6007400992047867</v>
      </c>
      <c r="E35" s="23"/>
    </row>
    <row r="36" spans="1:5" x14ac:dyDescent="0.3">
      <c r="A36" s="18">
        <f t="shared" si="3"/>
        <v>4.2999999999999989</v>
      </c>
      <c r="B36" s="1" t="s">
        <v>127</v>
      </c>
      <c r="C36" s="23">
        <f>'Financial Statements'!B10/(('Financial Statements'!B39+'Financial Statements'!C39)/2)</f>
        <v>34.959396147839669</v>
      </c>
      <c r="D36" s="23">
        <f>'Financial Statements'!C10/(('Financial Statements'!C39+'Financial Statements'!D39)/2)</f>
        <v>36.136829245371679</v>
      </c>
      <c r="E36" s="23"/>
    </row>
    <row r="37" spans="1:5" x14ac:dyDescent="0.3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 s="23">
        <f>138.2/'Financial Statements'!B25</f>
        <v>22.618657937806869</v>
      </c>
      <c r="D40" s="23">
        <f>141.5/'Financial Statements'!C25</f>
        <v>25.222816399286987</v>
      </c>
      <c r="E40" s="23">
        <f>115.81/'Financial Statements'!D25</f>
        <v>35.307926829268297</v>
      </c>
    </row>
    <row r="41" spans="1:5" x14ac:dyDescent="0.3">
      <c r="A41" s="18">
        <f t="shared" ref="A41:A44" si="4">+A40+0.1</f>
        <v>5.1999999999999993</v>
      </c>
      <c r="B41" s="3" t="s">
        <v>131</v>
      </c>
      <c r="C41" s="23">
        <f>('Financial Statements'!B22*1000)/'Financial Statements'!B28</f>
        <v>6.1132002014722815</v>
      </c>
      <c r="D41" s="23">
        <f>('Financial Statements'!C22*1000)/'Financial Statements'!C28</f>
        <v>5.6140204408927197</v>
      </c>
      <c r="E41" s="23">
        <f>('Financial Statements'!D22*1000)/'Financial Statements'!D28</f>
        <v>3.2753479618630856</v>
      </c>
    </row>
    <row r="42" spans="1:5" x14ac:dyDescent="0.3">
      <c r="A42" s="18">
        <f t="shared" si="4"/>
        <v>5.2999999999999989</v>
      </c>
      <c r="B42" s="1" t="s">
        <v>132</v>
      </c>
      <c r="C42" s="23">
        <f>138.2/C43</f>
        <v>44.526132495263653</v>
      </c>
      <c r="D42" s="23">
        <f>141.5/D43</f>
        <v>37.82510760025361</v>
      </c>
      <c r="E42" s="23">
        <f>115.81/E43</f>
        <v>31.067853247524447</v>
      </c>
    </row>
    <row r="43" spans="1:5" x14ac:dyDescent="0.3">
      <c r="A43" s="18">
        <f t="shared" si="4"/>
        <v>5.3999999999999986</v>
      </c>
      <c r="B43" s="3" t="s">
        <v>133</v>
      </c>
      <c r="C43" s="23">
        <f>(('Financial Statements'!B68)*1000)/'Financial Statements'!B28</f>
        <v>3.1037952827971447</v>
      </c>
      <c r="D43" s="23">
        <f>(('Financial Statements'!C68)*1000)/'Financial Statements'!C28</f>
        <v>3.740901453484597</v>
      </c>
      <c r="E43" s="23">
        <f>(('Financial Statements'!D68)*1000)/'Financial Statements'!D28</f>
        <v>3.7276473233382479</v>
      </c>
    </row>
    <row r="44" spans="1:5" x14ac:dyDescent="0.3">
      <c r="A44" s="18">
        <f t="shared" si="4"/>
        <v>5.4999999999999982</v>
      </c>
      <c r="B44" s="1" t="s">
        <v>134</v>
      </c>
      <c r="C44" s="23">
        <f>'Financial Statements'!B102/'Financial Statements'!B22</f>
        <v>-0.14870294480125848</v>
      </c>
      <c r="D44" s="23">
        <f>'Financial Statements'!C102/'Financial Statements'!C22</f>
        <v>-0.15279890156316012</v>
      </c>
      <c r="E44" s="23">
        <f>'Financial Statements'!D102/'Financial Statements'!D22</f>
        <v>-0.24526658654264863</v>
      </c>
    </row>
    <row r="45" spans="1:5" x14ac:dyDescent="0.3">
      <c r="A45" s="18"/>
      <c r="B45" s="3" t="s">
        <v>135</v>
      </c>
      <c r="C45" s="23">
        <f>('Financial Statements'!B102*1000)/'Financial Statements'!B28</f>
        <v>-0.90905087211857483</v>
      </c>
      <c r="D45" s="23">
        <f>('Financial Statements'!C102*1000)/'Financial Statements'!C28</f>
        <v>-0.85781615672153544</v>
      </c>
      <c r="E45" s="23">
        <f>('Financial Statements'!D102*1000)/'Financial Statements'!D28</f>
        <v>-0.80333341434558025</v>
      </c>
    </row>
    <row r="46" spans="1:5" x14ac:dyDescent="0.3">
      <c r="A46" s="18">
        <f>+A44+0.1</f>
        <v>5.5999999999999979</v>
      </c>
      <c r="B46" s="1" t="s">
        <v>136</v>
      </c>
      <c r="C46" s="23">
        <f>C45/138.2</f>
        <v>-6.5777921282096589E-3</v>
      </c>
      <c r="D46" s="23">
        <f>D45/141.5</f>
        <v>-6.0623049944984837E-3</v>
      </c>
      <c r="E46" s="23">
        <f>E45/115.81</f>
        <v>-6.9366498087002869E-3</v>
      </c>
    </row>
    <row r="47" spans="1:5" x14ac:dyDescent="0.3">
      <c r="A47" s="18">
        <f t="shared" ref="A47:A50" si="5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</row>
    <row r="48" spans="1:5" x14ac:dyDescent="0.3">
      <c r="A48" s="18">
        <f t="shared" si="5"/>
        <v>5.6999999999999975</v>
      </c>
      <c r="B48" s="1" t="s">
        <v>138</v>
      </c>
      <c r="C48" s="23">
        <f>C21/('Financial Statements'!B55+'Financial Statements'!B68)</f>
        <v>1.9326375404530745</v>
      </c>
      <c r="D48" s="23">
        <f>D21/('Financial Statements'!C55+'Financial Statements'!C68)</f>
        <v>1.4985488906922686</v>
      </c>
      <c r="E48" s="23">
        <f>E21/('Financial Statements'!D55+'Financial Statements'!D68)</f>
        <v>0.89443005181347146</v>
      </c>
    </row>
    <row r="49" spans="1:5" x14ac:dyDescent="0.3">
      <c r="A49" s="18">
        <f t="shared" si="5"/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5" x14ac:dyDescent="0.3">
      <c r="A50" s="18">
        <f t="shared" si="5"/>
        <v>5.7999999999999972</v>
      </c>
      <c r="B50" s="1" t="s">
        <v>139</v>
      </c>
      <c r="C50" s="23">
        <f t="shared" ref="C50:D50" si="6">C51/C19</f>
        <v>15.145694443814586</v>
      </c>
      <c r="D50" s="23">
        <f t="shared" si="6"/>
        <v>16.941316189315746</v>
      </c>
      <c r="E50" s="23">
        <f>E51/E19</f>
        <v>27.143236234743487</v>
      </c>
    </row>
    <row r="51" spans="1:5" x14ac:dyDescent="0.3">
      <c r="A51" s="18"/>
      <c r="B51" s="3" t="s">
        <v>140</v>
      </c>
      <c r="C51" s="23">
        <f>(115.81*('Financial Statements'!B28/1000))+('Financial Statements'!B55+'Financial Statements'!B59)-'Financial Statements'!B36</f>
        <v>1977134.0983899999</v>
      </c>
      <c r="D51" s="23">
        <f>(115.81*('Financial Statements'!C28/1000))+('Financial Statements'!C55+'Financial Statements'!C59)-'Financial Statements'!C36</f>
        <v>2036905.2693900003</v>
      </c>
      <c r="E51" s="23">
        <f>(115.81*('Financial Statements'!D28/1000))+('Financial Statements'!D55+'Financial Statements'!D59)-'Financial Statements'!D36</f>
        <v>2099366.4633400002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663F-26B5-4F6F-A101-A9BECDA7AF18}">
  <dimension ref="A1:J34"/>
  <sheetViews>
    <sheetView workbookViewId="0">
      <selection activeCell="E5" sqref="E5"/>
    </sheetView>
  </sheetViews>
  <sheetFormatPr defaultRowHeight="14.4" x14ac:dyDescent="0.3"/>
  <cols>
    <col min="1" max="1" width="4.88671875" customWidth="1"/>
    <col min="2" max="2" width="35" customWidth="1"/>
  </cols>
  <sheetData>
    <row r="1" spans="1:10" ht="54.6" customHeight="1" x14ac:dyDescent="0.5">
      <c r="A1" s="6"/>
      <c r="B1" s="20" t="s">
        <v>0</v>
      </c>
      <c r="C1" s="19"/>
      <c r="D1" s="19"/>
      <c r="E1" s="19" t="s">
        <v>156</v>
      </c>
      <c r="F1" s="19"/>
      <c r="G1" s="19"/>
      <c r="H1" s="19"/>
      <c r="I1" s="19"/>
      <c r="J1" s="19"/>
    </row>
    <row r="2" spans="1:10" x14ac:dyDescent="0.3">
      <c r="C2" s="28" t="s">
        <v>23</v>
      </c>
      <c r="D2" s="28"/>
      <c r="E2" s="28"/>
    </row>
    <row r="3" spans="1:10" x14ac:dyDescent="0.3">
      <c r="C3" s="7">
        <f>'Financial Statements'!B4</f>
        <v>2022</v>
      </c>
      <c r="D3" s="7">
        <f>+'Financial Statements'!C4</f>
        <v>2021</v>
      </c>
      <c r="E3" s="7"/>
    </row>
    <row r="4" spans="1:10" x14ac:dyDescent="0.3">
      <c r="A4">
        <v>1</v>
      </c>
      <c r="B4" s="7" t="s">
        <v>151</v>
      </c>
      <c r="C4" s="7"/>
      <c r="D4" s="7"/>
      <c r="E4" s="7"/>
    </row>
    <row r="5" spans="1:10" x14ac:dyDescent="0.3">
      <c r="A5">
        <v>1.1000000000000001</v>
      </c>
      <c r="B5" t="s">
        <v>4</v>
      </c>
      <c r="C5" s="26">
        <f>(('Financial Statements'!B6-'Financial Statements'!C6)/'Financial Statements'!C6)</f>
        <v>6.3239764351428418E-2</v>
      </c>
      <c r="D5" s="26">
        <f>(('Financial Statements'!C6-'Financial Statements'!D6)/'Financial Statements'!D6)</f>
        <v>0.34720743656765435</v>
      </c>
    </row>
    <row r="6" spans="1:10" x14ac:dyDescent="0.3">
      <c r="A6">
        <v>1.2</v>
      </c>
      <c r="B6" t="s">
        <v>5</v>
      </c>
      <c r="C6" s="26">
        <f>(('Financial Statements'!B7-'Financial Statements'!C7)/'Financial Statements'!C7)</f>
        <v>0.14181951041286078</v>
      </c>
      <c r="D6" s="26">
        <f>(('Financial Statements'!C7-'Financial Statements'!D7)/'Financial Statements'!D7)</f>
        <v>0.27259708376729652</v>
      </c>
    </row>
    <row r="7" spans="1:10" x14ac:dyDescent="0.3">
      <c r="A7">
        <v>1.3</v>
      </c>
      <c r="B7" s="7" t="s">
        <v>150</v>
      </c>
      <c r="C7" s="26">
        <f>(('Financial Statements'!B8-'Financial Statements'!C8)/'Financial Statements'!C8)</f>
        <v>7.7937876041846058E-2</v>
      </c>
      <c r="D7" s="26">
        <f>(('Financial Statements'!C8-'Financial Statements'!D8)/'Financial Statements'!D8)</f>
        <v>0.33259384733074693</v>
      </c>
    </row>
    <row r="8" spans="1:10" x14ac:dyDescent="0.3">
      <c r="C8" s="26"/>
      <c r="D8" s="26"/>
    </row>
    <row r="9" spans="1:10" x14ac:dyDescent="0.3">
      <c r="A9">
        <v>2</v>
      </c>
      <c r="B9" s="7" t="s">
        <v>152</v>
      </c>
      <c r="C9" s="26"/>
      <c r="D9" s="26"/>
    </row>
    <row r="10" spans="1:10" x14ac:dyDescent="0.3">
      <c r="C10" s="26">
        <f>(('Financial Statements'!B13-'Financial Statements'!C13)/'Financial Statements'!C13)</f>
        <v>0.11741997958596143</v>
      </c>
      <c r="D10" s="26">
        <f>(('Financial Statements'!C13-'Financial Statements'!D13)/'Financial Statements'!D13)</f>
        <v>0.45619116582186819</v>
      </c>
    </row>
    <row r="11" spans="1:10" x14ac:dyDescent="0.3">
      <c r="C11" s="26"/>
      <c r="D11" s="26"/>
    </row>
    <row r="12" spans="1:10" x14ac:dyDescent="0.3">
      <c r="A12">
        <v>3</v>
      </c>
      <c r="B12" s="7" t="s">
        <v>153</v>
      </c>
      <c r="C12" s="26"/>
      <c r="D12" s="26"/>
    </row>
    <row r="13" spans="1:10" x14ac:dyDescent="0.3">
      <c r="A13">
        <v>3.1</v>
      </c>
      <c r="B13" t="s">
        <v>11</v>
      </c>
      <c r="C13" s="26">
        <f>(('Financial Statements'!B15-'Financial Statements'!C15)/'Financial Statements'!C15)</f>
        <v>0.19791001186456147</v>
      </c>
      <c r="D13" s="26">
        <f>(('Financial Statements'!C15-'Financial Statements'!D15)/'Financial Statements'!D15)</f>
        <v>0.16862201365187712</v>
      </c>
    </row>
    <row r="14" spans="1:10" x14ac:dyDescent="0.3">
      <c r="A14">
        <v>3.2</v>
      </c>
      <c r="B14" t="s">
        <v>12</v>
      </c>
      <c r="C14" s="26">
        <f>(('Financial Statements'!B16-'Financial Statements'!C16)/'Financial Statements'!C16)</f>
        <v>0.14203795567287125</v>
      </c>
      <c r="D14" s="26">
        <f>(('Financial Statements'!C16-'Financial Statements'!D16)/'Financial Statements'!D16)</f>
        <v>0.10328379192608958</v>
      </c>
    </row>
    <row r="15" spans="1:10" x14ac:dyDescent="0.3">
      <c r="A15">
        <v>3.3</v>
      </c>
      <c r="B15" t="s">
        <v>13</v>
      </c>
      <c r="C15" s="26">
        <f>(('Financial Statements'!B17-'Financial Statements'!C17)/'Financial Statements'!C17)</f>
        <v>0.16993642764372138</v>
      </c>
      <c r="D15" s="26">
        <f>(('Financial Statements'!C17-'Financial Statements'!D17)/'Financial Statements'!D17)</f>
        <v>0.13496948381090307</v>
      </c>
    </row>
    <row r="16" spans="1:10" x14ac:dyDescent="0.3">
      <c r="C16" s="26"/>
      <c r="D16" s="26"/>
    </row>
    <row r="17" spans="1:4" x14ac:dyDescent="0.3">
      <c r="A17">
        <v>4</v>
      </c>
      <c r="B17" s="7" t="s">
        <v>154</v>
      </c>
      <c r="C17" s="26"/>
      <c r="D17" s="26"/>
    </row>
    <row r="18" spans="1:4" x14ac:dyDescent="0.3">
      <c r="B18" t="s">
        <v>31</v>
      </c>
      <c r="C18" s="26">
        <f>(('Financial Statements'!B42-'Financial Statements'!C42)/'Financial Statements'!C42)</f>
        <v>4.2199412619775131E-3</v>
      </c>
      <c r="D18" s="26">
        <f>(('Financial Statements'!C42-'Financial Statements'!D42)/'Financial Statements'!D42)</f>
        <v>-6.176894226687913E-2</v>
      </c>
    </row>
    <row r="19" spans="1:4" x14ac:dyDescent="0.3">
      <c r="B19" t="s">
        <v>50</v>
      </c>
      <c r="C19" s="26">
        <f>(('Financial Statements'!B47-'Financial Statements'!C47)/'Financial Statements'!C47)</f>
        <v>5.4772720964443994E-3</v>
      </c>
      <c r="D19" s="26">
        <f>(('Financial Statements'!C47-'Financial Statements'!D47)/'Financial Statements'!D47)</f>
        <v>0.19975579297904814</v>
      </c>
    </row>
    <row r="20" spans="1:4" x14ac:dyDescent="0.3">
      <c r="B20" t="s">
        <v>33</v>
      </c>
      <c r="C20" s="26">
        <f>(('Financial Statements'!B48-'Financial Statements'!C48)/'Financial Statements'!C48)</f>
        <v>4.9942735369029236E-3</v>
      </c>
      <c r="D20" s="26">
        <f>(('Financial Statements'!C48-'Financial Statements'!D48)/'Financial Statements'!D48)</f>
        <v>8.3714123400681711E-2</v>
      </c>
    </row>
    <row r="21" spans="1:4" x14ac:dyDescent="0.3">
      <c r="B21" t="s">
        <v>40</v>
      </c>
      <c r="C21" s="26">
        <f>(('Financial Statements'!B56-'Financial Statements'!C56)/'Financial Statements'!C56)</f>
        <v>0.22713398841258836</v>
      </c>
      <c r="D21" s="26">
        <f>(('Financial Statements'!C56-'Financial Statements'!D56)/'Financial Statements'!D56)</f>
        <v>0.19061219067860938</v>
      </c>
    </row>
    <row r="22" spans="1:4" x14ac:dyDescent="0.3">
      <c r="B22" t="s">
        <v>53</v>
      </c>
      <c r="C22" s="26">
        <f>(('Financial Statements'!B61-'Financial Statements'!C61)/'Financial Statements'!C61)</f>
        <v>-8.8222075835277747E-2</v>
      </c>
      <c r="D22" s="26">
        <f>(('Financial Statements'!C61-'Financial Statements'!D61)/'Financial Statements'!D61)</f>
        <v>6.0552243775994566E-2</v>
      </c>
    </row>
    <row r="23" spans="1:4" x14ac:dyDescent="0.3">
      <c r="B23" t="s">
        <v>41</v>
      </c>
      <c r="C23" s="26">
        <f>(('Financial Statements'!B62-'Financial Statements'!C62)/'Financial Statements'!C62)</f>
        <v>4.9219900525160468E-2</v>
      </c>
      <c r="D23" s="26">
        <f>(('Financial Statements'!C62-'Financial Statements'!D62)/'Financial Statements'!D62)</f>
        <v>0.11356841449783213</v>
      </c>
    </row>
    <row r="24" spans="1:4" x14ac:dyDescent="0.3">
      <c r="B24" t="s">
        <v>45</v>
      </c>
      <c r="C24" s="26">
        <f>(('Financial Statements'!B68-'Financial Statements'!C68)/'Financial Statements'!C68)</f>
        <v>-0.19682992550324932</v>
      </c>
      <c r="D24" s="26">
        <f>(('Financial Statements'!C68-'Financial Statements'!D68)/'Financial Statements'!D68)</f>
        <v>-3.4420483937617659E-2</v>
      </c>
    </row>
    <row r="25" spans="1:4" x14ac:dyDescent="0.3">
      <c r="B25" t="s">
        <v>46</v>
      </c>
      <c r="C25" s="26">
        <f>(('Financial Statements'!B69-'Financial Statements'!C69)/'Financial Statements'!C69)</f>
        <v>4.9942735369029236E-3</v>
      </c>
      <c r="D25" s="26">
        <f>(('Financial Statements'!C69-'Financial Statements'!D69)/'Financial Statements'!D69)</f>
        <v>8.3714123400681711E-2</v>
      </c>
    </row>
    <row r="26" spans="1:4" x14ac:dyDescent="0.3">
      <c r="C26" s="26"/>
      <c r="D26" s="26"/>
    </row>
    <row r="27" spans="1:4" x14ac:dyDescent="0.3">
      <c r="A27">
        <v>5</v>
      </c>
      <c r="B27" s="7" t="s">
        <v>155</v>
      </c>
      <c r="C27" s="26"/>
      <c r="D27" s="26"/>
    </row>
    <row r="28" spans="1:4" x14ac:dyDescent="0.3">
      <c r="A28">
        <v>5.0999999999999996</v>
      </c>
      <c r="B28" s="1" t="s">
        <v>146</v>
      </c>
      <c r="C28" s="26">
        <f>('Financial Statements'!C12/'Financial Statements'!C8)</f>
        <v>0.58220640374832222</v>
      </c>
      <c r="D28" s="26">
        <f>'Financial Statements'!D12/'Financial Statements'!D8</f>
        <v>0.61766752272189129</v>
      </c>
    </row>
    <row r="29" spans="1:4" x14ac:dyDescent="0.3">
      <c r="A29">
        <v>5.2</v>
      </c>
      <c r="B29" s="1" t="s">
        <v>89</v>
      </c>
      <c r="C29" s="26">
        <f>'Financial Statements'!C13/'Financial Statements'!C8</f>
        <v>0.41779359625167778</v>
      </c>
      <c r="D29" s="26">
        <f>'Financial Statements'!D13/'Financial Statements'!D8</f>
        <v>0.38233247727810865</v>
      </c>
    </row>
    <row r="30" spans="1:4" x14ac:dyDescent="0.3">
      <c r="A30">
        <v>5.3</v>
      </c>
      <c r="B30" t="s">
        <v>11</v>
      </c>
      <c r="C30" s="26">
        <f>'Financial Statements'!C15/'Financial Statements'!C8</f>
        <v>5.9904269074427925E-2</v>
      </c>
      <c r="D30" s="26">
        <f>'Financial Statements'!D15/'Financial Statements'!D8</f>
        <v>6.8309564140393061E-2</v>
      </c>
    </row>
    <row r="31" spans="1:4" x14ac:dyDescent="0.3">
      <c r="A31">
        <v>5.4</v>
      </c>
      <c r="B31" t="s">
        <v>12</v>
      </c>
      <c r="C31" s="26">
        <f>'Financial Statements'!C16/'Financial Statements'!C8</f>
        <v>6.006555190163388E-2</v>
      </c>
      <c r="D31" s="26">
        <f>'Financial Statements'!D16/'Financial Statements'!D8</f>
        <v>7.2549769593646979E-2</v>
      </c>
    </row>
    <row r="32" spans="1:4" x14ac:dyDescent="0.3">
      <c r="A32">
        <v>5.5</v>
      </c>
      <c r="B32" t="s">
        <v>13</v>
      </c>
      <c r="C32" s="26">
        <f>'Financial Statements'!C17/'Financial Statements'!C8</f>
        <v>0.11996982097606181</v>
      </c>
      <c r="D32" s="26">
        <f>'Financial Statements'!D17/'Financial Statements'!D8</f>
        <v>0.14085933373404003</v>
      </c>
    </row>
    <row r="33" spans="1:4" x14ac:dyDescent="0.3">
      <c r="A33">
        <v>5.6</v>
      </c>
      <c r="B33" s="1" t="s">
        <v>14</v>
      </c>
      <c r="C33" s="26">
        <f>'Financial Statements'!C18/'Financial Statements'!C8</f>
        <v>0.29782377527561593</v>
      </c>
      <c r="D33" s="26">
        <f>'Financial Statements'!D18/'Financial Statements'!D8</f>
        <v>0.24147314354406862</v>
      </c>
    </row>
    <row r="34" spans="1:4" x14ac:dyDescent="0.3">
      <c r="A34">
        <v>5.7</v>
      </c>
      <c r="B34" s="1" t="s">
        <v>93</v>
      </c>
      <c r="C34" s="26">
        <f>'Financial Statements'!C22/'Financial Statements'!C8</f>
        <v>0.25881793355694238</v>
      </c>
      <c r="D34" s="26">
        <f>'Financial Statements'!D22/'Financial Statements'!D8</f>
        <v>0.20913611278072236</v>
      </c>
    </row>
  </sheetData>
  <mergeCells count="1"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C53F-74E1-4B45-B154-F19C231A0BC5}">
  <dimension ref="A1:J7"/>
  <sheetViews>
    <sheetView workbookViewId="0">
      <selection activeCell="F2" sqref="F2:F8"/>
    </sheetView>
  </sheetViews>
  <sheetFormatPr defaultRowHeight="14.4" x14ac:dyDescent="0.3"/>
  <cols>
    <col min="1" max="1" width="4.88671875" customWidth="1"/>
    <col min="2" max="2" width="33.5546875" customWidth="1"/>
  </cols>
  <sheetData>
    <row r="1" spans="1:10" ht="52.8" customHeight="1" x14ac:dyDescent="0.5">
      <c r="A1" s="6"/>
      <c r="B1" s="20" t="s">
        <v>0</v>
      </c>
      <c r="C1" s="19"/>
      <c r="D1" s="19"/>
      <c r="E1" s="19"/>
      <c r="F1" s="19" t="s">
        <v>156</v>
      </c>
      <c r="G1" s="19"/>
      <c r="H1" s="19"/>
      <c r="I1" s="19"/>
      <c r="J1" s="19"/>
    </row>
    <row r="2" spans="1:10" x14ac:dyDescent="0.3">
      <c r="C2" s="28" t="s">
        <v>23</v>
      </c>
      <c r="D2" s="28"/>
      <c r="E2" s="28"/>
    </row>
    <row r="3" spans="1:10" x14ac:dyDescent="0.3">
      <c r="C3" s="7">
        <f>'Financial Statements'!B4</f>
        <v>2022</v>
      </c>
      <c r="D3" s="7">
        <f>+'Financial Statements'!C4</f>
        <v>2021</v>
      </c>
      <c r="E3" s="7">
        <f>+'Financial Statements'!D4</f>
        <v>2020</v>
      </c>
    </row>
    <row r="5" spans="1:10" x14ac:dyDescent="0.3">
      <c r="A5">
        <v>1</v>
      </c>
      <c r="B5" s="1" t="s">
        <v>94</v>
      </c>
      <c r="C5">
        <f>('Financial Statements'!B21/'Financial Statements'!B22)*100</f>
        <v>19.338096049216958</v>
      </c>
      <c r="D5">
        <f>('Financial Statements'!C21/'Financial Statements'!C22)*100</f>
        <v>15.343261512463032</v>
      </c>
      <c r="E5">
        <f>('Financial Statements'!D21/'Financial Statements'!D22)*100</f>
        <v>16.860880319102613</v>
      </c>
    </row>
    <row r="6" spans="1:10" x14ac:dyDescent="0.3">
      <c r="A6">
        <v>2</v>
      </c>
      <c r="B6" s="1" t="s">
        <v>95</v>
      </c>
      <c r="C6" s="26">
        <f>-('Financial Statements'!B96/'Financial Statements'!B8)</f>
        <v>2.7155058732831552E-2</v>
      </c>
      <c r="D6" s="26">
        <f>-('Financial Statements'!C96/'Financial Statements'!C8)</f>
        <v>3.0302036264033657E-2</v>
      </c>
      <c r="E6" s="26">
        <f>-('Financial Statements'!D96/'Financial Statements'!D8)</f>
        <v>2.6625138881299748E-2</v>
      </c>
    </row>
    <row r="7" spans="1:10" x14ac:dyDescent="0.3">
      <c r="A7">
        <v>3</v>
      </c>
      <c r="B7" s="1" t="s">
        <v>96</v>
      </c>
      <c r="C7" s="26">
        <f>-'Financial Statements'!B96/'Financial Statements'!B45</f>
        <v>0.25424412944891611</v>
      </c>
      <c r="D7" s="26">
        <f>-'Financial Statements'!C96/'Financial Statements'!C45</f>
        <v>0.28105983772819471</v>
      </c>
      <c r="E7" s="26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List of Ratios</vt:lpstr>
      <vt:lpstr>Growth Rates</vt:lpstr>
      <vt:lpstr>Additional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2020-05-18T16:32:37Z</dcterms:created>
  <dcterms:modified xsi:type="dcterms:W3CDTF">2023-11-14T17:27:28Z</dcterms:modified>
</cp:coreProperties>
</file>