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iolobryn/Documents/Quill Capital Partners/Section 1/"/>
    </mc:Choice>
  </mc:AlternateContent>
  <xr:revisionPtr revIDLastSave="0" documentId="8_{8988F29A-7BAC-EB49-AC75-E3FE595286A1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D41" i="3"/>
  <c r="E41" i="3"/>
  <c r="C41" i="3"/>
  <c r="E40" i="3"/>
  <c r="D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D18" i="3"/>
  <c r="E18" i="3"/>
  <c r="C18" i="3"/>
  <c r="D20" i="3"/>
  <c r="E20" i="3"/>
  <c r="C20" i="3"/>
  <c r="D19" i="3"/>
  <c r="E19" i="3"/>
  <c r="C19" i="3"/>
  <c r="D21" i="3"/>
  <c r="E21" i="3"/>
  <c r="C21" i="3"/>
  <c r="D17" i="3"/>
  <c r="E17" i="3"/>
  <c r="C17" i="3"/>
  <c r="C13" i="3"/>
  <c r="D13" i="3"/>
  <c r="E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C6" i="3"/>
  <c r="D6" i="3"/>
  <c r="E6" i="3"/>
  <c r="D7" i="3"/>
  <c r="E7" i="3"/>
  <c r="C7" i="3"/>
  <c r="D5" i="3"/>
  <c r="E5" i="3"/>
  <c r="C5" i="3"/>
  <c r="B56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B6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<sst xmlns="http://schemas.openxmlformats.org/spreadsheetml/2006/main" count="173" uniqueCount="150">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</sst>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3" workbookViewId="0">
      <selection activeCell="B25" sqref="B2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6" t="s">
        <v>1</v>
      </c>
      <c r="B2" s="26"/>
      <c r="C2" s="26"/>
      <c r="D2" s="26"/>
    </row>
    <row r="3" spans="1:10" x14ac:dyDescent="0.2">
      <c r="B3" s="25" t="s">
        <v>23</v>
      </c>
      <c r="C3" s="25"/>
      <c r="D3" s="25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6" t="s">
        <v>24</v>
      </c>
      <c r="B31" s="26"/>
      <c r="C31" s="26"/>
      <c r="D31" s="26"/>
    </row>
    <row r="32" spans="1:4" x14ac:dyDescent="0.2">
      <c r="B32" s="25" t="s">
        <v>142</v>
      </c>
      <c r="C32" s="25"/>
      <c r="D32" s="25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6" t="s">
        <v>55</v>
      </c>
      <c r="B71" s="26"/>
      <c r="C71" s="26"/>
      <c r="D71" s="26"/>
    </row>
    <row r="72" spans="1:4" x14ac:dyDescent="0.2">
      <c r="B72" s="25" t="s">
        <v>23</v>
      </c>
      <c r="C72" s="25"/>
      <c r="D72" s="25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3" workbookViewId="0">
      <selection activeCell="C55" sqref="C5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3" bestFit="1" customWidth="1"/>
    <col min="4" max="5" width="12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5" t="s">
        <v>23</v>
      </c>
      <c r="D2" s="25"/>
      <c r="E2" s="25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3">
        <f>+'Financial Statements'!B42/'Financial Statements'!B56</f>
        <v>0.87935602862672257</v>
      </c>
      <c r="D5" s="23">
        <f>+'Financial Statements'!C42/'Financial Statements'!C56</f>
        <v>1.0745531195957954</v>
      </c>
      <c r="E5" s="23">
        <f>+'Financial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7">
        <f>+SUM('Financial Statements'!B36:B38)/'Financial Statements'!B56</f>
        <v>0.49673338442155579</v>
      </c>
      <c r="D6" s="27">
        <f>+SUM('Financial Statements'!C36:C38)/'Financial Statements'!C56</f>
        <v>0.70860927152317876</v>
      </c>
      <c r="E6" s="27">
        <f>+SUM('Financial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23">
        <f>+'Financial Statements'!B36/'Financial Statements'!B56</f>
        <v>0.15356340351469652</v>
      </c>
      <c r="D7" s="23">
        <f>+'Financial Statements'!C36/'Financial Statements'!C56</f>
        <v>0.27844853005634318</v>
      </c>
      <c r="E7" s="23">
        <f>+'Financial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3">
        <f>+'Financial Statements'!B42/('Financial Statements'!B17/365)</f>
        <v>962.56354075372474</v>
      </c>
      <c r="D8" s="23">
        <f>+'Financial Statements'!C42/('Financial Statements'!C17/365)</f>
        <v>1121.4058832911796</v>
      </c>
      <c r="E8" s="23">
        <f>+'Financial Statements'!D42/('Financial Statements'!D17/365)</f>
        <v>1356.5543860556534</v>
      </c>
    </row>
    <row r="9" spans="1:10" x14ac:dyDescent="0.2">
      <c r="A9" s="18">
        <f t="shared" si="0"/>
        <v>1.5000000000000004</v>
      </c>
      <c r="B9" s="1" t="s">
        <v>104</v>
      </c>
      <c r="C9" s="23">
        <f>+('Financial Statements'!B39/'Financial Statements'!B12)*365</f>
        <v>8.0756980666171607</v>
      </c>
      <c r="D9" s="23">
        <f>+('Financial Statements'!C39/'Financial Statements'!C12)*365</f>
        <v>11.27659274770989</v>
      </c>
      <c r="E9" s="23">
        <f>+('Financial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3">
        <f>+('Financial Statements'!B51/'Financial Statements'!B12)*365</f>
        <v>104.68527730310539</v>
      </c>
      <c r="D10" s="23">
        <f>+('Financial Statements'!C51/'Financial Statements'!C12)*365</f>
        <v>93.851071222315596</v>
      </c>
      <c r="E10" s="23">
        <f>+('Financial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3">
        <f>+('Financial Statements'!B38/'Financial Statements'!B8)*365</f>
        <v>26.087825363656648</v>
      </c>
      <c r="D11" s="23">
        <f>+('Financial Statements'!C38/'Financial Statements'!C8)*365</f>
        <v>26.219311841713207</v>
      </c>
      <c r="E11" s="23">
        <f>+('Financial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3">
        <f>+C9+C11-C10</f>
        <v>-70.521753872831582</v>
      </c>
      <c r="D12" s="23">
        <f t="shared" ref="D12:E12" si="1">+D9+D11-D10</f>
        <v>-56.355166632892498</v>
      </c>
      <c r="E12" s="23">
        <f t="shared" si="1"/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3">
        <f>+(C14/'Financial Statements'!B8)*100</f>
        <v>-4.7110527276784806</v>
      </c>
      <c r="D13" s="23">
        <f>+(D14/'Financial Statements'!C8)*100</f>
        <v>2.5572895737486232</v>
      </c>
      <c r="E13" s="23">
        <f>+(E14/'Financial Statements'!D8)*100</f>
        <v>13.959528623208204</v>
      </c>
    </row>
    <row r="14" spans="1:10" x14ac:dyDescent="0.2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4"/>
      <c r="D16" s="24"/>
      <c r="E16" s="24"/>
    </row>
    <row r="17" spans="1:5" x14ac:dyDescent="0.2">
      <c r="A17" s="18">
        <f>+A16+0.1</f>
        <v>2.1</v>
      </c>
      <c r="B17" s="1" t="s">
        <v>9</v>
      </c>
      <c r="C17" s="24">
        <f>+'Financial Statements'!B13/'Financial Statements'!B8</f>
        <v>0.43309630561360085</v>
      </c>
      <c r="D17" s="24">
        <f>+'Financial Statements'!C13/'Financial Statements'!C8</f>
        <v>0.41779359625167778</v>
      </c>
      <c r="E17" s="24">
        <f>+'Financial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4">
        <f>+(C19/'Financial Statements'!B8)</f>
        <v>0.3310467428130896</v>
      </c>
      <c r="D18" s="24">
        <f>+(D19/'Financial Statements'!C8)</f>
        <v>0.32866979938056462</v>
      </c>
      <c r="E18" s="24">
        <f>+(E19/'Financial Statements'!D8)</f>
        <v>0.2817478097736007</v>
      </c>
    </row>
    <row r="19" spans="1:5" x14ac:dyDescent="0.2">
      <c r="A19" s="18"/>
      <c r="B19" s="3" t="s">
        <v>112</v>
      </c>
      <c r="C19">
        <f>+'Financial Statements'!B18+'Financial Statements'!B79</f>
        <v>130541</v>
      </c>
      <c r="D19">
        <f>+'Financial Statements'!C18+'Financial Statements'!C79</f>
        <v>120233</v>
      </c>
      <c r="E19">
        <f>+'Financial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24">
        <f>+C21/'Financial Statements'!B8</f>
        <v>0.30288744395528594</v>
      </c>
      <c r="D20" s="24">
        <f>+D21/'Financial Statements'!C8</f>
        <v>0.29782377527561593</v>
      </c>
      <c r="E20" s="24">
        <f>+E21/'Financial Statements'!D8</f>
        <v>0.24147314354406862</v>
      </c>
    </row>
    <row r="21" spans="1:5" x14ac:dyDescent="0.2">
      <c r="A21" s="18"/>
      <c r="B21" s="3" t="s">
        <v>114</v>
      </c>
      <c r="C21">
        <f>+'Financial Statements'!B18</f>
        <v>119437</v>
      </c>
      <c r="D21">
        <f>+'Financial Statements'!C18</f>
        <v>108949</v>
      </c>
      <c r="E21">
        <f>+'Financial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4">
        <f>+'Financial Statements'!B22/'Financial Statements'!B8</f>
        <v>0.25309640705199732</v>
      </c>
      <c r="D22" s="24">
        <f>+'Financial Statements'!C22/'Financial Statements'!C8</f>
        <v>0.25881793355694238</v>
      </c>
      <c r="E22" s="24">
        <f>+'Financial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+'Financial Statements'!B62/'Financial Statements'!B68</f>
        <v>5.9615369434796337</v>
      </c>
      <c r="D25">
        <f>+'Financial Statements'!C62/'Financial Statements'!C68</f>
        <v>4.5635124425423994</v>
      </c>
      <c r="E25">
        <f>+'Financial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>
        <f>+'Financial Statements'!B62/'Financial Statements'!B48</f>
        <v>0.85635355983614692</v>
      </c>
      <c r="D26">
        <f>+'Financial Statements'!C62/'Financial Statements'!C48</f>
        <v>0.82025743443057308</v>
      </c>
      <c r="E26">
        <f>+'Financial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>
        <f>+'Financial Statements'!B61/'Financial Statements'!B42</f>
        <v>1.0937631549795059</v>
      </c>
      <c r="D27">
        <f>+'Financial Statements'!C61/'Financial Statements'!C42</f>
        <v>1.2046560265804385</v>
      </c>
      <c r="E27">
        <f>+'Financial Statements'!D61/'Financial Statements'!D42</f>
        <v>1.0657143055951792</v>
      </c>
    </row>
    <row r="28" spans="1:5" x14ac:dyDescent="0.2">
      <c r="A28" s="18">
        <f t="shared" si="2"/>
        <v>3.4000000000000004</v>
      </c>
      <c r="B28" s="1" t="s">
        <v>120</v>
      </c>
    </row>
    <row r="29" spans="1:5" x14ac:dyDescent="0.2">
      <c r="A29" s="18">
        <f t="shared" si="2"/>
        <v>3.5000000000000004</v>
      </c>
      <c r="B29" s="1" t="s">
        <v>121</v>
      </c>
    </row>
    <row r="30" spans="1:5" x14ac:dyDescent="0.2">
      <c r="A30" s="18">
        <f t="shared" si="2"/>
        <v>3.6000000000000005</v>
      </c>
      <c r="B30" s="1" t="s">
        <v>122</v>
      </c>
    </row>
    <row r="31" spans="1:5" x14ac:dyDescent="0.2">
      <c r="A31" s="18"/>
      <c r="B31" s="3" t="s">
        <v>123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+'Financial Statements'!B8/'Financial Statements'!B48</f>
        <v>1.1178523337727317</v>
      </c>
      <c r="D34">
        <f>+'Financial Statements'!C8/'Financial Statements'!C48</f>
        <v>1.0422077367080529</v>
      </c>
      <c r="E34">
        <f>+'Financial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+'Financial Statements'!B8/'Financial Statements'!B47</f>
        <v>1.8142535081665516</v>
      </c>
      <c r="D35">
        <f>+'Financial Statements'!C8/'Financial Statements'!C47</f>
        <v>1.6922966608994938</v>
      </c>
      <c r="E35">
        <f>+'Financial Statements'!D8/'Financial Statements'!D47</f>
        <v>1.5236020535590398</v>
      </c>
    </row>
    <row r="36" spans="1:5" x14ac:dyDescent="0.2">
      <c r="A36" s="18">
        <f t="shared" si="3"/>
        <v>4.2999999999999989</v>
      </c>
      <c r="B36" s="1" t="s">
        <v>127</v>
      </c>
      <c r="C36">
        <f>+'Financial Statements'!B12/'Financial Statements'!B39</f>
        <v>45.197331176708452</v>
      </c>
      <c r="D36">
        <f>+'Financial Statements'!C12/'Financial Statements'!C39</f>
        <v>32.367933130699086</v>
      </c>
      <c r="E36">
        <f>+'Financial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>
        <f>+'Financial Statements'!B22/'Financial Statements'!B48</f>
        <v>0.28292440929256851</v>
      </c>
      <c r="D37">
        <f>+'Financial Statements'!C22/'Financial Statements'!C48</f>
        <v>0.26974205275183616</v>
      </c>
      <c r="E37">
        <f>+'Financial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174.31/'Financial Statements'!B25</f>
        <v>28.528641571194761</v>
      </c>
      <c r="D40">
        <f>122.15/+'Financial Statements'!C25</f>
        <v>21.773618538324421</v>
      </c>
      <c r="E40">
        <f>63.57/+'Financial Statements'!D25</f>
        <v>19.381097560975611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5" x14ac:dyDescent="0.2">
      <c r="A42" s="18">
        <f t="shared" si="4"/>
        <v>5.2999999999999989</v>
      </c>
      <c r="B42" s="1" t="s">
        <v>132</v>
      </c>
      <c r="C42">
        <v>41.99</v>
      </c>
      <c r="D42">
        <v>29.46</v>
      </c>
      <c r="E42">
        <v>14.02</v>
      </c>
    </row>
    <row r="43" spans="1:5" x14ac:dyDescent="0.2">
      <c r="A43" s="18">
        <f t="shared" si="4"/>
        <v>5.3999999999999986</v>
      </c>
      <c r="B43" s="3" t="s">
        <v>133</v>
      </c>
    </row>
    <row r="44" spans="1:5" x14ac:dyDescent="0.2">
      <c r="A44" s="18">
        <f t="shared" si="4"/>
        <v>5.4999999999999982</v>
      </c>
      <c r="B44" s="1" t="s">
        <v>134</v>
      </c>
    </row>
    <row r="45" spans="1:5" x14ac:dyDescent="0.2">
      <c r="A45" s="18"/>
      <c r="B45" s="3" t="s">
        <v>135</v>
      </c>
    </row>
    <row r="46" spans="1:5" x14ac:dyDescent="0.2">
      <c r="A46" s="18">
        <f>+A44+0.1</f>
        <v>5.5999999999999979</v>
      </c>
      <c r="B46" s="1" t="s">
        <v>136</v>
      </c>
    </row>
    <row r="47" spans="1:5" x14ac:dyDescent="0.2">
      <c r="A47" s="18">
        <f t="shared" ref="A47:A50" si="5">+A45+0.1</f>
        <v>0.1</v>
      </c>
      <c r="B47" s="1" t="s">
        <v>137</v>
      </c>
      <c r="C47">
        <f>+'Financial Statements'!B8/('Financial Statements'!B48-'Financial Statements'!B62)</f>
        <v>7.7819703189137988</v>
      </c>
      <c r="D47">
        <f>+'Financial Statements'!C8/('Financial Statements'!C48-'Financial Statements'!C62)</f>
        <v>5.798335710889206</v>
      </c>
      <c r="E47">
        <f>+'Financial Statements'!D8/('Financial Statements'!D48-'Financial Statements'!D62)</f>
        <v>4.2013957973032952</v>
      </c>
    </row>
    <row r="48" spans="1:5" x14ac:dyDescent="0.2">
      <c r="A48" s="18">
        <f t="shared" si="5"/>
        <v>5.6999999999999975</v>
      </c>
      <c r="B48" s="1" t="s">
        <v>138</v>
      </c>
      <c r="C48">
        <f>+'Financial Statements'!B22/('Financial Statements'!B48-'Financial Statements'!B56)</f>
        <v>0.502095355002943</v>
      </c>
      <c r="D48">
        <f>+'Financial Statements'!C22/('Financial Statements'!C48-'Financial Statements'!C56)</f>
        <v>0.41982786525423355</v>
      </c>
      <c r="E48">
        <f>+'Financial Statements'!D22/('Financial Statements'!D48-'Financial Statements'!D56)</f>
        <v>0.26275538224956063</v>
      </c>
    </row>
    <row r="49" spans="1:5" x14ac:dyDescent="0.2">
      <c r="A49" s="18">
        <f t="shared" si="5"/>
        <v>0.2</v>
      </c>
      <c r="B49" s="1" t="s">
        <v>128</v>
      </c>
      <c r="C49">
        <f>+C37</f>
        <v>0.28292440929256851</v>
      </c>
      <c r="D49">
        <f t="shared" ref="D49:E49" si="6">+D37</f>
        <v>0.26974205275183616</v>
      </c>
      <c r="E49">
        <f t="shared" si="6"/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>
        <f>C51/C19</f>
        <v>127.19571628836917</v>
      </c>
      <c r="D50">
        <f t="shared" ref="D50:E50" si="7">D51/D19</f>
        <v>142.37265143513011</v>
      </c>
      <c r="E50">
        <f t="shared" si="7"/>
        <v>229.47800734381465</v>
      </c>
    </row>
    <row r="51" spans="1:5" x14ac:dyDescent="0.2">
      <c r="A51" s="18"/>
      <c r="B51" s="3" t="s">
        <v>140</v>
      </c>
      <c r="C51" s="2">
        <f>+'Financial Statements'!B28+'Financial Statements'!B62-'Financial Statements'!B36</f>
        <v>16604256</v>
      </c>
      <c r="D51" s="2">
        <f>+'Financial Statements'!C28+'Financial Statements'!C62-'Financial Statements'!C36</f>
        <v>17117891</v>
      </c>
      <c r="E51" s="2">
        <f>+'Financial Statements'!D28+'Financial Statements'!D62-'Financial Statements'!D36</f>
        <v>17748747</v>
      </c>
    </row>
  </sheetData>
  <mergeCells count="1">
    <mergeCell ref="C2:E2"/>
  </mergeCells>
  <pageMargins left="0.7" right="0.7" top="0.75" bottom="0.75" header="0.3" footer="0.3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2023-08-02T15:28:17Z</dcterms:modified>
</cp:coreProperties>
</file>