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iolobryn/Documents/Quill Capital Partners/Section 1/"/>
    </mc:Choice>
  </mc:AlternateContent>
  <xr:revisionPtr revIDLastSave="0" documentId="8_{2EEC40B1-2254-BF48-9F6A-78864532AB8A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3" l="1"/>
  <c r="D44" i="3"/>
  <c r="C44" i="3"/>
  <c r="E46" i="3"/>
  <c r="D46" i="3"/>
  <c r="C46" i="3"/>
  <c r="D45" i="3"/>
  <c r="E45" i="3"/>
  <c r="C45" i="3"/>
  <c r="D48" i="3"/>
  <c r="E48" i="3"/>
  <c r="C48" i="3"/>
  <c r="E51" i="3"/>
  <c r="D51" i="3"/>
  <c r="E42" i="3"/>
  <c r="D42" i="3"/>
  <c r="C51" i="3"/>
  <c r="D43" i="3"/>
  <c r="E43" i="3"/>
  <c r="C43" i="3"/>
  <c r="C42" i="3"/>
  <c r="D35" i="3"/>
  <c r="E35" i="3"/>
  <c r="C35" i="3"/>
  <c r="D30" i="3"/>
  <c r="E30" i="3"/>
  <c r="C30" i="3"/>
  <c r="D31" i="3"/>
  <c r="E31" i="3"/>
  <c r="C31" i="3"/>
  <c r="D29" i="3"/>
  <c r="E29" i="3"/>
  <c r="C29" i="3"/>
  <c r="D28" i="3"/>
  <c r="E28" i="3"/>
  <c r="C28" i="3"/>
  <c r="D27" i="3"/>
  <c r="E27" i="3"/>
  <c r="C27" i="3"/>
  <c r="D26" i="3"/>
  <c r="E26" i="3"/>
  <c r="C26" i="3"/>
  <c r="D25" i="3"/>
  <c r="E25" i="3"/>
  <c r="C25" i="3"/>
  <c r="D8" i="3"/>
  <c r="E8" i="3"/>
  <c r="C8" i="3"/>
  <c r="D50" i="3" l="1"/>
  <c r="E50" i="3"/>
  <c r="C50" i="3"/>
  <c r="D49" i="3"/>
  <c r="E49" i="3"/>
  <c r="C49" i="3"/>
  <c r="D47" i="3"/>
  <c r="E47" i="3"/>
  <c r="C47" i="3"/>
  <c r="D41" i="3"/>
  <c r="E41" i="3"/>
  <c r="C41" i="3"/>
  <c r="E40" i="3"/>
  <c r="D40" i="3"/>
  <c r="C40" i="3"/>
  <c r="D37" i="3"/>
  <c r="E37" i="3"/>
  <c r="C37" i="3"/>
  <c r="D36" i="3"/>
  <c r="E36" i="3"/>
  <c r="C36" i="3"/>
  <c r="D34" i="3"/>
  <c r="E34" i="3"/>
  <c r="C34" i="3"/>
  <c r="D22" i="3"/>
  <c r="E22" i="3"/>
  <c r="C22" i="3"/>
  <c r="D18" i="3"/>
  <c r="E18" i="3"/>
  <c r="C18" i="3"/>
  <c r="D20" i="3"/>
  <c r="E20" i="3"/>
  <c r="C20" i="3"/>
  <c r="D19" i="3"/>
  <c r="E19" i="3"/>
  <c r="C19" i="3"/>
  <c r="D21" i="3"/>
  <c r="E21" i="3"/>
  <c r="C21" i="3"/>
  <c r="D17" i="3"/>
  <c r="E17" i="3"/>
  <c r="C17" i="3"/>
  <c r="C13" i="3"/>
  <c r="D13" i="3"/>
  <c r="E13" i="3"/>
  <c r="D14" i="3"/>
  <c r="E14" i="3"/>
  <c r="C14" i="3"/>
  <c r="D12" i="3"/>
  <c r="E12" i="3"/>
  <c r="C12" i="3"/>
  <c r="D11" i="3"/>
  <c r="E11" i="3"/>
  <c r="C11" i="3"/>
  <c r="D10" i="3"/>
  <c r="E10" i="3"/>
  <c r="C10" i="3"/>
  <c r="D9" i="3"/>
  <c r="E9" i="3"/>
  <c r="C9" i="3"/>
  <c r="C6" i="3"/>
  <c r="D6" i="3"/>
  <c r="E6" i="3"/>
  <c r="D7" i="3"/>
  <c r="E7" i="3"/>
  <c r="C7" i="3"/>
  <c r="D5" i="3"/>
  <c r="E5" i="3"/>
  <c r="C5" i="3"/>
  <c r="B56" i="1" l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C62" i="1" l="1"/>
  <c r="B13" i="1"/>
  <c r="B18" i="1" s="1"/>
  <c r="B20" i="1" s="1"/>
  <c r="B22" i="1" s="1"/>
  <c r="B76" i="1" s="1"/>
  <c r="B91" i="1" s="1"/>
  <c r="B109" i="1" s="1"/>
  <c r="C13" i="1"/>
  <c r="C18" i="1" s="1"/>
  <c r="C20" i="1" s="1"/>
  <c r="C22" i="1" s="1"/>
  <c r="C76" i="1" s="1"/>
  <c r="C91" i="1" s="1"/>
  <c r="C109" i="1" s="1"/>
  <c r="B62" i="1"/>
  <c r="B6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<sst xmlns="http://schemas.openxmlformats.org/spreadsheetml/2006/main" count="173" uniqueCount="150">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</sst>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quotePrefix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7" sqref="A27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77" zoomScale="130" zoomScaleNormal="130" workbookViewId="0">
      <selection activeCell="B22" sqref="B22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6" t="s">
        <v>1</v>
      </c>
      <c r="B2" s="26"/>
      <c r="C2" s="26"/>
      <c r="D2" s="26"/>
    </row>
    <row r="3" spans="1:10" x14ac:dyDescent="0.2">
      <c r="B3" s="25" t="s">
        <v>23</v>
      </c>
      <c r="C3" s="25"/>
      <c r="D3" s="25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6" t="s">
        <v>24</v>
      </c>
      <c r="B31" s="26"/>
      <c r="C31" s="26"/>
      <c r="D31" s="26"/>
    </row>
    <row r="32" spans="1:4" x14ac:dyDescent="0.2">
      <c r="B32" s="25" t="s">
        <v>142</v>
      </c>
      <c r="C32" s="25"/>
      <c r="D32" s="25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6" t="s">
        <v>55</v>
      </c>
      <c r="B71" s="26"/>
      <c r="C71" s="26"/>
      <c r="D71" s="26"/>
    </row>
    <row r="72" spans="1:4" x14ac:dyDescent="0.2">
      <c r="B72" s="25" t="s">
        <v>23</v>
      </c>
      <c r="C72" s="25"/>
      <c r="D72" s="25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workbookViewId="0"/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5" width="12.6640625" bestFit="1" customWidth="1"/>
    <col min="7" max="7" width="10.832031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5" t="s">
        <v>23</v>
      </c>
      <c r="D2" s="25"/>
      <c r="E2" s="25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23">
        <f>+'Financial Statements'!B42/'Financial Statements'!B56</f>
        <v>0.87935602862672257</v>
      </c>
      <c r="D5" s="23">
        <f>+'Financial Statements'!C42/'Financial Statements'!C56</f>
        <v>1.0745531195957954</v>
      </c>
      <c r="E5" s="23">
        <f>+'Financial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 s="27">
        <f>+SUM('Financial Statements'!B36:B38)/'Financial Statements'!B56</f>
        <v>0.49673338442155579</v>
      </c>
      <c r="D6" s="27">
        <f>+SUM('Financial Statements'!C36:C38)/'Financial Statements'!C56</f>
        <v>0.70860927152317876</v>
      </c>
      <c r="E6" s="27">
        <f>+SUM('Financial Statements'!D36:D38)/'Financial Statements'!D56</f>
        <v>1.0158550933657204</v>
      </c>
    </row>
    <row r="7" spans="1:10" x14ac:dyDescent="0.2">
      <c r="A7" s="18">
        <f t="shared" si="0"/>
        <v>1.3000000000000003</v>
      </c>
      <c r="B7" s="1" t="s">
        <v>102</v>
      </c>
      <c r="C7" s="23">
        <f>+'Financial Statements'!B36/'Financial Statements'!B56</f>
        <v>0.15356340351469652</v>
      </c>
      <c r="D7" s="23">
        <f>+'Financial Statements'!C36/'Financial Statements'!C56</f>
        <v>0.27844853005634318</v>
      </c>
      <c r="E7" s="23">
        <f>+'Financial Statements'!D36/'Financial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>
        <f>+'Financial Statements'!B42/('Financial Statements'!B76/365)</f>
        <v>495.20380148893315</v>
      </c>
      <c r="D8">
        <f>+'Financial Statements'!C42/('Financial Statements'!C76/365)</f>
        <v>519.805027460921</v>
      </c>
      <c r="E8">
        <f>+'Financial Statements'!D42/('Financial Statements'!D76/365)</f>
        <v>913.67934716343552</v>
      </c>
    </row>
    <row r="9" spans="1:10" x14ac:dyDescent="0.2">
      <c r="A9" s="18">
        <f t="shared" si="0"/>
        <v>1.5000000000000004</v>
      </c>
      <c r="B9" s="1" t="s">
        <v>104</v>
      </c>
      <c r="C9" s="23">
        <f>+('Financial Statements'!B39/'Financial Statements'!B12)*365</f>
        <v>8.0756980666171607</v>
      </c>
      <c r="D9" s="23">
        <f>+('Financial Statements'!C39/'Financial Statements'!C12)*365</f>
        <v>11.27659274770989</v>
      </c>
      <c r="E9" s="23">
        <f>+('Financial Statements'!D39/'Financial Statements'!D12)*365</f>
        <v>8.7418833562358831</v>
      </c>
    </row>
    <row r="10" spans="1:10" x14ac:dyDescent="0.2">
      <c r="A10" s="18">
        <f t="shared" si="0"/>
        <v>1.6000000000000005</v>
      </c>
      <c r="B10" s="1" t="s">
        <v>105</v>
      </c>
      <c r="C10" s="23">
        <f>+('Financial Statements'!B51/'Financial Statements'!B12)*365</f>
        <v>104.68527730310539</v>
      </c>
      <c r="D10" s="23">
        <f>+('Financial Statements'!C51/'Financial Statements'!C12)*365</f>
        <v>93.851071222315596</v>
      </c>
      <c r="E10" s="23">
        <f>+('Financial Statements'!D51/'Financial Statements'!D12)*365</f>
        <v>91.048189715674198</v>
      </c>
    </row>
    <row r="11" spans="1:10" x14ac:dyDescent="0.2">
      <c r="A11" s="18">
        <f t="shared" si="0"/>
        <v>1.7000000000000006</v>
      </c>
      <c r="B11" s="1" t="s">
        <v>106</v>
      </c>
      <c r="C11" s="23">
        <f>+('Financial Statements'!B38/'Financial Statements'!B8)*365</f>
        <v>26.087825363656648</v>
      </c>
      <c r="D11" s="23">
        <f>+('Financial Statements'!C38/'Financial Statements'!C8)*365</f>
        <v>26.219311841713207</v>
      </c>
      <c r="E11" s="23">
        <f>+('Financial Statements'!D38/'Financial Statements'!D8)*365</f>
        <v>21.433437152796749</v>
      </c>
    </row>
    <row r="12" spans="1:10" x14ac:dyDescent="0.2">
      <c r="A12" s="18">
        <f t="shared" si="0"/>
        <v>1.8000000000000007</v>
      </c>
      <c r="B12" s="1" t="s">
        <v>107</v>
      </c>
      <c r="C12" s="23">
        <f>+C9+C11-C10</f>
        <v>-70.521753872831582</v>
      </c>
      <c r="D12" s="23">
        <f t="shared" ref="D12:E12" si="1">+D9+D11-D10</f>
        <v>-56.355166632892498</v>
      </c>
      <c r="E12" s="23">
        <f t="shared" si="1"/>
        <v>-60.872869206641568</v>
      </c>
    </row>
    <row r="13" spans="1:10" x14ac:dyDescent="0.2">
      <c r="A13" s="18">
        <f t="shared" si="0"/>
        <v>1.9000000000000008</v>
      </c>
      <c r="B13" s="1" t="s">
        <v>108</v>
      </c>
      <c r="C13" s="23">
        <f>+(C14/'Financial Statements'!B8)*100</f>
        <v>-4.7110527276784806</v>
      </c>
      <c r="D13" s="23">
        <f>+(D14/'Financial Statements'!C8)*100</f>
        <v>2.5572895737486232</v>
      </c>
      <c r="E13" s="23">
        <f>+(E14/'Financial Statements'!D8)*100</f>
        <v>13.959528623208204</v>
      </c>
    </row>
    <row r="14" spans="1:10" x14ac:dyDescent="0.2">
      <c r="A14" s="18"/>
      <c r="B14" s="3" t="s">
        <v>109</v>
      </c>
      <c r="C14">
        <f>+'Financial Statements'!B42-'Financial Statements'!B56</f>
        <v>-18577</v>
      </c>
      <c r="D14">
        <f>+'Financial Statements'!C42-'Financial Statements'!C56</f>
        <v>9355</v>
      </c>
      <c r="E14">
        <f>+'Financial Statements'!D42-'Financial Statements'!D56</f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  <c r="C16" s="24"/>
      <c r="D16" s="24"/>
      <c r="E16" s="24"/>
    </row>
    <row r="17" spans="1:5" x14ac:dyDescent="0.2">
      <c r="A17" s="18">
        <f>+A16+0.1</f>
        <v>2.1</v>
      </c>
      <c r="B17" s="1" t="s">
        <v>9</v>
      </c>
      <c r="C17" s="24">
        <f>+'Financial Statements'!B13/'Financial Statements'!B8</f>
        <v>0.43309630561360085</v>
      </c>
      <c r="D17" s="24">
        <f>+'Financial Statements'!C13/'Financial Statements'!C8</f>
        <v>0.41779359625167778</v>
      </c>
      <c r="E17" s="24">
        <f>+'Financial Statements'!D13/'Financial Statements'!D8</f>
        <v>0.38233247727810865</v>
      </c>
    </row>
    <row r="18" spans="1:5" x14ac:dyDescent="0.2">
      <c r="A18" s="18">
        <f>+A17+0.1</f>
        <v>2.2000000000000002</v>
      </c>
      <c r="B18" s="1" t="s">
        <v>111</v>
      </c>
      <c r="C18" s="24">
        <f>+(C19/'Financial Statements'!B8)</f>
        <v>0.3310467428130896</v>
      </c>
      <c r="D18" s="24">
        <f>+(D19/'Financial Statements'!C8)</f>
        <v>0.32866979938056462</v>
      </c>
      <c r="E18" s="24">
        <f>+(E19/'Financial Statements'!D8)</f>
        <v>0.2817478097736007</v>
      </c>
    </row>
    <row r="19" spans="1:5" x14ac:dyDescent="0.2">
      <c r="A19" s="18"/>
      <c r="B19" s="3" t="s">
        <v>112</v>
      </c>
      <c r="C19">
        <f>+'Financial Statements'!B18+'Financial Statements'!B79</f>
        <v>130541</v>
      </c>
      <c r="D19">
        <f>+'Financial Statements'!C18+'Financial Statements'!C79</f>
        <v>120233</v>
      </c>
      <c r="E19">
        <f>+'Financial Statements'!D18+'Financial Statements'!D79</f>
        <v>77344</v>
      </c>
    </row>
    <row r="20" spans="1:5" x14ac:dyDescent="0.2">
      <c r="A20" s="18">
        <f>+A18+0.1</f>
        <v>2.3000000000000003</v>
      </c>
      <c r="B20" s="1" t="s">
        <v>113</v>
      </c>
      <c r="C20" s="24">
        <f>+C21/'Financial Statements'!B8</f>
        <v>0.30288744395528594</v>
      </c>
      <c r="D20" s="24">
        <f>+D21/'Financial Statements'!C8</f>
        <v>0.29782377527561593</v>
      </c>
      <c r="E20" s="24">
        <f>+E21/'Financial Statements'!D8</f>
        <v>0.24147314354406862</v>
      </c>
    </row>
    <row r="21" spans="1:5" x14ac:dyDescent="0.2">
      <c r="A21" s="18"/>
      <c r="B21" s="3" t="s">
        <v>114</v>
      </c>
      <c r="C21">
        <f>+'Financial Statements'!B18</f>
        <v>119437</v>
      </c>
      <c r="D21">
        <f>+'Financial Statements'!C18</f>
        <v>108949</v>
      </c>
      <c r="E21">
        <f>+'Financial Statements'!D18</f>
        <v>66288</v>
      </c>
    </row>
    <row r="22" spans="1:5" x14ac:dyDescent="0.2">
      <c r="A22" s="18">
        <f>+A20+0.1</f>
        <v>2.4000000000000004</v>
      </c>
      <c r="B22" s="1" t="s">
        <v>115</v>
      </c>
      <c r="C22" s="24">
        <f>+'Financial Statements'!B22/'Financial Statements'!B8</f>
        <v>0.25309640705199732</v>
      </c>
      <c r="D22" s="24">
        <f>+'Financial Statements'!C22/'Financial Statements'!C8</f>
        <v>0.25881793355694238</v>
      </c>
      <c r="E22" s="24">
        <f>+'Financial Statements'!D22/'Financial Statements'!D8</f>
        <v>0.20913611278072236</v>
      </c>
    </row>
    <row r="23" spans="1:5" x14ac:dyDescent="0.2">
      <c r="A23" s="18"/>
    </row>
    <row r="24" spans="1:5" x14ac:dyDescent="0.2">
      <c r="A24" s="18">
        <f>+A16+1</f>
        <v>3</v>
      </c>
      <c r="B24" s="7" t="s">
        <v>116</v>
      </c>
    </row>
    <row r="25" spans="1:5" x14ac:dyDescent="0.2">
      <c r="A25" s="18">
        <f>+A24+0.1</f>
        <v>3.1</v>
      </c>
      <c r="B25" s="1" t="s">
        <v>117</v>
      </c>
      <c r="C25">
        <f>+'Financial Statements'!B59/'Financial Statements'!B68</f>
        <v>1.9529325860435744</v>
      </c>
      <c r="D25">
        <f>+'Financial Statements'!C59/'Financial Statements'!C68</f>
        <v>1.729370740212395</v>
      </c>
      <c r="E25">
        <f>+'Financial Statements'!D59/'Financial Statements'!D68</f>
        <v>1.5100782075024104</v>
      </c>
    </row>
    <row r="26" spans="1:5" x14ac:dyDescent="0.2">
      <c r="A26" s="18">
        <f t="shared" ref="A26:A30" si="2">+A25+0.1</f>
        <v>3.2</v>
      </c>
      <c r="B26" s="1" t="s">
        <v>118</v>
      </c>
      <c r="C26">
        <f>+'Financial Statements'!B59/'Financial Statements'!B48</f>
        <v>0.28053181386514719</v>
      </c>
      <c r="D26">
        <f>+'Financial Statements'!C59/'Financial Statements'!C48</f>
        <v>0.31084153366647482</v>
      </c>
      <c r="E26">
        <f>+'Financial Statements'!D59/'Financial Statements'!D48</f>
        <v>0.30463308304105124</v>
      </c>
    </row>
    <row r="27" spans="1:5" x14ac:dyDescent="0.2">
      <c r="A27" s="18">
        <f t="shared" si="2"/>
        <v>3.3000000000000003</v>
      </c>
      <c r="B27" s="1" t="s">
        <v>119</v>
      </c>
      <c r="C27">
        <f>+'Financial Statements'!B55/('Financial Statements'!B55+'Financial Statements'!B68)</f>
        <v>0.18006472491909384</v>
      </c>
      <c r="D27">
        <f>+'Financial Statements'!C55/('Financial Statements'!C55+'Financial Statements'!C68)</f>
        <v>0.13222287938599508</v>
      </c>
      <c r="E27">
        <f>+'Financial Statements'!D55/('Financial Statements'!D55+'Financial Statements'!D68)</f>
        <v>0.1183748920552677</v>
      </c>
    </row>
    <row r="28" spans="1:5" x14ac:dyDescent="0.2">
      <c r="A28" s="18">
        <f t="shared" si="2"/>
        <v>3.4000000000000004</v>
      </c>
      <c r="B28" s="1" t="s">
        <v>120</v>
      </c>
      <c r="C28">
        <f>+C21/'Financial Statements'!B114</f>
        <v>41.68830715532286</v>
      </c>
      <c r="D28">
        <f>+D21/'Financial Statements'!C114</f>
        <v>40.546706363974693</v>
      </c>
      <c r="E28">
        <f>+E21/'Financial Statements'!D114</f>
        <v>22.081279147235175</v>
      </c>
    </row>
    <row r="29" spans="1:5" x14ac:dyDescent="0.2">
      <c r="A29" s="18">
        <f t="shared" si="2"/>
        <v>3.5000000000000004</v>
      </c>
      <c r="B29" s="1" t="s">
        <v>121</v>
      </c>
      <c r="C29">
        <f>+'Financial Statements'!B18/('Financial Statements'!B114+'Financial Statements'!B105)</f>
        <v>-17.88514525306978</v>
      </c>
      <c r="D29">
        <f>+'Financial Statements'!C18/('Financial Statements'!C114+'Financial Statements'!C105)</f>
        <v>-17.969487052614216</v>
      </c>
      <c r="E29">
        <f>+'Financial Statements'!D18/('Financial Statements'!D114+'Financial Statements'!D105)</f>
        <v>-6.8856341539420383</v>
      </c>
    </row>
    <row r="30" spans="1:5" x14ac:dyDescent="0.2">
      <c r="A30" s="18">
        <f t="shared" si="2"/>
        <v>3.6000000000000005</v>
      </c>
      <c r="B30" s="1" t="s">
        <v>122</v>
      </c>
      <c r="C30">
        <f>+C31/'Financial Statements'!B28*1000</f>
        <v>7.841076763132067</v>
      </c>
      <c r="D30">
        <f>+D31/'Financial Statements'!C28*1000</f>
        <v>7.3898961507019392</v>
      </c>
      <c r="E30">
        <f>+E31/'Financial Statements'!D28*1000</f>
        <v>5.7342978582986266</v>
      </c>
    </row>
    <row r="31" spans="1:5" x14ac:dyDescent="0.2">
      <c r="A31" s="18"/>
      <c r="B31" s="3" t="s">
        <v>123</v>
      </c>
      <c r="C31">
        <f>+'Financial Statements'!B91+'Financial Statements'!B96+'Financial Statements'!B79+'Financial Statements'!B104</f>
        <v>128012</v>
      </c>
      <c r="D31">
        <f>+'Financial Statements'!C91+'Financial Statements'!C96+'Financial Statements'!C79+'Financial Statements'!C104</f>
        <v>124630</v>
      </c>
      <c r="E31">
        <f>+'Financial Statements'!D91+'Financial Statements'!D96+'Financial Statements'!D79+'Financial Statements'!D104</f>
        <v>100512</v>
      </c>
    </row>
    <row r="32" spans="1:5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>
        <f>+'Financial Statements'!B8/'Financial Statements'!B48</f>
        <v>1.1178523337727317</v>
      </c>
      <c r="D34">
        <f>+'Financial Statements'!C8/'Financial Statements'!C48</f>
        <v>1.0422077367080529</v>
      </c>
      <c r="E34">
        <f>+'Financial Statements'!D8/'Financial Statements'!D48</f>
        <v>0.84756150274168851</v>
      </c>
    </row>
    <row r="35" spans="1:5" x14ac:dyDescent="0.2">
      <c r="A35" s="18">
        <f t="shared" ref="A35:A37" si="3">+A34+0.1</f>
        <v>4.1999999999999993</v>
      </c>
      <c r="B35" s="1" t="s">
        <v>126</v>
      </c>
      <c r="C35">
        <f>+'Financial Statements'!B8/'Financial Statements'!B45</f>
        <v>9.3626801529073767</v>
      </c>
      <c r="D35">
        <f>+'Financial Statements'!C8/'Financial Statements'!C45</f>
        <v>9.2752789046653152</v>
      </c>
      <c r="E35">
        <f>+'Financial Statements'!D8/'Financial Statements'!D45</f>
        <v>7.4665451776097482</v>
      </c>
    </row>
    <row r="36" spans="1:5" x14ac:dyDescent="0.2">
      <c r="A36" s="18">
        <f t="shared" si="3"/>
        <v>4.2999999999999989</v>
      </c>
      <c r="B36" s="1" t="s">
        <v>127</v>
      </c>
      <c r="C36">
        <f>+'Financial Statements'!B12/'Financial Statements'!B39</f>
        <v>45.197331176708452</v>
      </c>
      <c r="D36">
        <f>+'Financial Statements'!C12/'Financial Statements'!C39</f>
        <v>32.367933130699086</v>
      </c>
      <c r="E36">
        <f>+'Financial Statements'!D12/'Financial Statements'!D39</f>
        <v>41.753016498399411</v>
      </c>
    </row>
    <row r="37" spans="1:5" x14ac:dyDescent="0.2">
      <c r="A37" s="18">
        <f t="shared" si="3"/>
        <v>4.3999999999999986</v>
      </c>
      <c r="B37" s="1" t="s">
        <v>128</v>
      </c>
      <c r="C37">
        <f>+'Financial Statements'!B22/'Financial Statements'!B48</f>
        <v>0.28292440929256851</v>
      </c>
      <c r="D37">
        <f>+'Financial Statements'!C22/'Financial Statements'!C48</f>
        <v>0.26974205275183616</v>
      </c>
      <c r="E37">
        <f>+'Financial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>
        <f>174.31/'Financial Statements'!B25</f>
        <v>28.528641571194761</v>
      </c>
      <c r="D40">
        <f>122.15/+'Financial Statements'!C25</f>
        <v>21.773618538324421</v>
      </c>
      <c r="E40">
        <f>63.57/+'Financial Statements'!D25</f>
        <v>19.381097560975611</v>
      </c>
    </row>
    <row r="41" spans="1:5" x14ac:dyDescent="0.2">
      <c r="A41" s="18">
        <f t="shared" ref="A41:A44" si="4">+A40+0.1</f>
        <v>5.1999999999999993</v>
      </c>
      <c r="B41" s="3" t="s">
        <v>131</v>
      </c>
      <c r="C41">
        <f>+'Financial Statements'!B25</f>
        <v>6.11</v>
      </c>
      <c r="D41">
        <f>+'Financial Statements'!C25</f>
        <v>5.61</v>
      </c>
      <c r="E41">
        <f>+'Financial Statements'!D25</f>
        <v>3.28</v>
      </c>
    </row>
    <row r="42" spans="1:5" x14ac:dyDescent="0.2">
      <c r="A42" s="18">
        <f t="shared" si="4"/>
        <v>5.2999999999999989</v>
      </c>
      <c r="B42" s="1" t="s">
        <v>132</v>
      </c>
      <c r="C42">
        <f>174.31*'Financial Statements'!B28/('Financial Statements'!B48-'Financial Statements'!B62)/1000</f>
        <v>56.160276087188194</v>
      </c>
      <c r="D42">
        <f>122.15*'Financial Statements'!C28/('Financial Statements'!C48-'Financial Statements'!C62)/1000</f>
        <v>32.652557550324936</v>
      </c>
      <c r="E42">
        <f>63.57*'Financial Statements'!D28/('Financial Statements'!D48-'Financial Statements'!D62)/1000</f>
        <v>17.05365193804619</v>
      </c>
    </row>
    <row r="43" spans="1:5" x14ac:dyDescent="0.2">
      <c r="A43" s="18">
        <f t="shared" si="4"/>
        <v>5.3999999999999986</v>
      </c>
      <c r="B43" s="3" t="s">
        <v>133</v>
      </c>
      <c r="C43">
        <f>+('Financial Statements'!B48-'Financial Statements'!B62)/('Financial Statements'!B28/1000)</f>
        <v>3.1037952827971451</v>
      </c>
      <c r="D43">
        <f>+('Financial Statements'!C48-'Financial Statements'!C62)/('Financial Statements'!C28/1000)</f>
        <v>3.740901453484597</v>
      </c>
      <c r="E43">
        <f>+('Financial Statements'!D48-'Financial Statements'!D62)/('Financial Statements'!D28/1000)</f>
        <v>3.7276473233382479</v>
      </c>
    </row>
    <row r="44" spans="1:5" x14ac:dyDescent="0.2">
      <c r="A44" s="18">
        <f t="shared" si="4"/>
        <v>5.4999999999999982</v>
      </c>
      <c r="B44" s="1" t="s">
        <v>134</v>
      </c>
      <c r="C44">
        <f>+C45/C41</f>
        <v>0.14878083013397297</v>
      </c>
      <c r="D44">
        <f>+D45/D41</f>
        <v>0.15290840583271573</v>
      </c>
      <c r="E44">
        <f>+E45/E41</f>
        <v>0.24491872388584765</v>
      </c>
    </row>
    <row r="45" spans="1:5" x14ac:dyDescent="0.2">
      <c r="A45" s="18"/>
      <c r="B45" s="3" t="s">
        <v>135</v>
      </c>
      <c r="C45">
        <f>+(-'Financial Statements'!B102)/('Financial Statements'!B28/1000)</f>
        <v>0.90905087211857494</v>
      </c>
      <c r="D45">
        <f>+(-'Financial Statements'!C102)/('Financial Statements'!C28/1000)</f>
        <v>0.85781615672153533</v>
      </c>
      <c r="E45">
        <f>+(-'Financial Statements'!D102)/('Financial Statements'!D28/1000)</f>
        <v>0.80333341434558025</v>
      </c>
    </row>
    <row r="46" spans="1:5" x14ac:dyDescent="0.2">
      <c r="A46" s="18">
        <f>+A44+0.1</f>
        <v>5.5999999999999979</v>
      </c>
      <c r="B46" s="1" t="s">
        <v>136</v>
      </c>
      <c r="C46">
        <f>+C45/174.31</f>
        <v>5.2151389600055935E-3</v>
      </c>
      <c r="D46">
        <f>+D45/122.15</f>
        <v>7.0226455728328715E-3</v>
      </c>
      <c r="E46">
        <f>+E45/63.57</f>
        <v>1.2636989371489386E-2</v>
      </c>
    </row>
    <row r="47" spans="1:5" x14ac:dyDescent="0.2">
      <c r="A47" s="18">
        <f t="shared" ref="A47:A50" si="5">+A45+0.1</f>
        <v>0.1</v>
      </c>
      <c r="B47" s="1" t="s">
        <v>137</v>
      </c>
      <c r="C47">
        <f>+'Financial Statements'!B8/('Financial Statements'!B48-'Financial Statements'!B62)</f>
        <v>7.7819703189137988</v>
      </c>
      <c r="D47">
        <f>+'Financial Statements'!C8/('Financial Statements'!C48-'Financial Statements'!C62)</f>
        <v>5.798335710889206</v>
      </c>
      <c r="E47">
        <f>+'Financial Statements'!D8/('Financial Statements'!D48-'Financial Statements'!D62)</f>
        <v>4.2013957973032952</v>
      </c>
    </row>
    <row r="48" spans="1:5" x14ac:dyDescent="0.2">
      <c r="A48" s="18">
        <f t="shared" si="5"/>
        <v>5.6999999999999975</v>
      </c>
      <c r="B48" s="1" t="s">
        <v>138</v>
      </c>
      <c r="C48">
        <f>+C21/('Financial Statements'!B48-'Financial Statements'!B56)</f>
        <v>0.60087134570590572</v>
      </c>
      <c r="D48">
        <f>+D21/('Financial Statements'!C48-'Financial Statements'!C56)</f>
        <v>0.48309913489209433</v>
      </c>
      <c r="E48">
        <f>+E21/('Financial Statements'!D48-'Financial Statements'!D56)</f>
        <v>0.30338312829525482</v>
      </c>
    </row>
    <row r="49" spans="1:5" x14ac:dyDescent="0.2">
      <c r="A49" s="18">
        <f t="shared" si="5"/>
        <v>0.2</v>
      </c>
      <c r="B49" s="1" t="s">
        <v>128</v>
      </c>
      <c r="C49">
        <f>+C37</f>
        <v>0.28292440929256851</v>
      </c>
      <c r="D49">
        <f t="shared" ref="D49:E49" si="6">+D37</f>
        <v>0.26974205275183616</v>
      </c>
      <c r="E49">
        <f t="shared" si="6"/>
        <v>0.1772557180259843</v>
      </c>
    </row>
    <row r="50" spans="1:5" x14ac:dyDescent="0.2">
      <c r="A50" s="18">
        <f t="shared" si="5"/>
        <v>5.7999999999999972</v>
      </c>
      <c r="B50" s="1" t="s">
        <v>139</v>
      </c>
      <c r="C50">
        <f>C51/C19</f>
        <v>22.376621213948106</v>
      </c>
      <c r="D50">
        <f t="shared" ref="D50:E50" si="7">D51/D19</f>
        <v>17.750666255104672</v>
      </c>
      <c r="E50">
        <f t="shared" si="7"/>
        <v>15.190830109381466</v>
      </c>
    </row>
    <row r="51" spans="1:5" x14ac:dyDescent="0.2">
      <c r="A51" s="18"/>
      <c r="B51" s="3" t="s">
        <v>140</v>
      </c>
      <c r="C51" s="2">
        <f>+(174.31/1000)*'Financial Statements'!B28+('Financial Statements'!B59)-'Financial Statements'!B36</f>
        <v>2921066.5098899999</v>
      </c>
      <c r="D51" s="2">
        <f>+(122.15/1000)*'Financial Statements'!C28+('Financial Statements'!C59)-'Financial Statements'!C36</f>
        <v>2134215.8558499999</v>
      </c>
      <c r="E51" s="2">
        <f>+(63.57/1000)*'Financial Statements'!D28+('Financial Statements'!D59)-'Financial Statements'!D36</f>
        <v>1174919.5639800001</v>
      </c>
    </row>
  </sheetData>
  <mergeCells count="1">
    <mergeCell ref="C2:E2"/>
  </mergeCells>
  <pageMargins left="0.7" right="0.7" top="0.75" bottom="0.75" header="0.3" footer="0.3"/>
  <ignoredErrors>
    <ignoredError sqref="C6:E6" formulaRange="1"/>
    <ignoredError sqref="C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2020-05-18T16:32:37Z</dcterms:created>
  <dcterms:modified xsi:type="dcterms:W3CDTF">2023-08-04T19:41:41Z</dcterms:modified>
</cp:coreProperties>
</file>