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olobryn/Documents/Quill Capital Partners/Section 1/"/>
    </mc:Choice>
  </mc:AlternateContent>
  <xr:revisionPtr revIDLastSave="0" documentId="8_{B1C76651-6D10-1940-9720-9A5CC9ED6E05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3" l="1"/>
  <c r="E47" i="3"/>
  <c r="C47" i="3"/>
  <c r="E42" i="3"/>
  <c r="D42" i="3"/>
  <c r="C42" i="3"/>
  <c r="D8" i="3"/>
  <c r="E8" i="3"/>
  <c r="C8" i="3"/>
  <c r="E27" i="3"/>
  <c r="D27" i="3"/>
  <c r="C27" i="3"/>
  <c r="E31" i="3"/>
  <c r="D31" i="3"/>
  <c r="C31" i="3"/>
  <c r="D78" i="3"/>
  <c r="E78" i="3"/>
  <c r="E77" i="3"/>
  <c r="D77" i="3"/>
  <c r="D76" i="3"/>
  <c r="E76" i="3"/>
  <c r="D75" i="3"/>
  <c r="E75" i="3"/>
  <c r="D74" i="3"/>
  <c r="E74" i="3"/>
  <c r="E73" i="3"/>
  <c r="D73" i="3"/>
  <c r="C78" i="3"/>
  <c r="C77" i="3"/>
  <c r="C76" i="3"/>
  <c r="C75" i="3"/>
  <c r="C74" i="3"/>
  <c r="C73" i="3"/>
  <c r="D72" i="3"/>
  <c r="E72" i="3"/>
  <c r="C72" i="3"/>
  <c r="D71" i="3"/>
  <c r="E71" i="3"/>
  <c r="C71" i="3"/>
  <c r="D70" i="3"/>
  <c r="E70" i="3"/>
  <c r="C70" i="3"/>
  <c r="D67" i="3"/>
  <c r="D66" i="3"/>
  <c r="D65" i="3"/>
  <c r="D64" i="3"/>
  <c r="C67" i="3"/>
  <c r="C66" i="3"/>
  <c r="C65" i="3"/>
  <c r="C64" i="3"/>
  <c r="D63" i="3"/>
  <c r="C63" i="3"/>
  <c r="D62" i="3"/>
  <c r="C62" i="3"/>
  <c r="C61" i="3"/>
  <c r="D61" i="3"/>
  <c r="D60" i="3"/>
  <c r="C60" i="3"/>
  <c r="D59" i="3"/>
  <c r="C59" i="3"/>
  <c r="D57" i="3"/>
  <c r="D58" i="3"/>
  <c r="C58" i="3"/>
  <c r="C57" i="3"/>
  <c r="D56" i="3"/>
  <c r="C56" i="3"/>
  <c r="C46" i="3"/>
  <c r="D45" i="3"/>
  <c r="E45" i="3"/>
  <c r="C45" i="3"/>
  <c r="E51" i="3"/>
  <c r="D51" i="3"/>
  <c r="C51" i="3"/>
  <c r="D46" i="3" l="1"/>
  <c r="E46" i="3"/>
  <c r="D41" i="3"/>
  <c r="D44" i="3" s="1"/>
  <c r="E41" i="3"/>
  <c r="E44" i="3" s="1"/>
  <c r="C41" i="3"/>
  <c r="C44" i="3" s="1"/>
  <c r="E40" i="3"/>
  <c r="D40" i="3"/>
  <c r="C40" i="3"/>
  <c r="B56" i="1" l="1"/>
  <c r="D108" i="1"/>
  <c r="C108" i="1"/>
  <c r="B108" i="1"/>
  <c r="D99" i="1"/>
  <c r="C99" i="1"/>
  <c r="B99" i="1"/>
  <c r="C6" i="3" l="1"/>
  <c r="C7" i="3"/>
  <c r="D68" i="1"/>
  <c r="C68" i="1"/>
  <c r="B68" i="1"/>
  <c r="D61" i="1"/>
  <c r="C61" i="1"/>
  <c r="B61" i="1"/>
  <c r="D56" i="1"/>
  <c r="C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D6" i="3" l="1"/>
  <c r="D7" i="3"/>
  <c r="C35" i="3"/>
  <c r="C11" i="3"/>
  <c r="E6" i="3"/>
  <c r="E7" i="3"/>
  <c r="D35" i="3"/>
  <c r="D11" i="3"/>
  <c r="B48" i="1"/>
  <c r="C5" i="3"/>
  <c r="C14" i="3"/>
  <c r="C13" i="3" s="1"/>
  <c r="D13" i="1"/>
  <c r="E35" i="3"/>
  <c r="E11" i="3"/>
  <c r="E34" i="3"/>
  <c r="D14" i="3"/>
  <c r="D13" i="3" s="1"/>
  <c r="D5" i="3"/>
  <c r="E14" i="3"/>
  <c r="E13" i="3" s="1"/>
  <c r="E5" i="3"/>
  <c r="C25" i="3"/>
  <c r="E10" i="3"/>
  <c r="E9" i="3"/>
  <c r="E12" i="3" s="1"/>
  <c r="E36" i="3"/>
  <c r="D25" i="3"/>
  <c r="C36" i="3"/>
  <c r="C10" i="3"/>
  <c r="C9" i="3"/>
  <c r="C12" i="3" s="1"/>
  <c r="D10" i="3"/>
  <c r="D9" i="3"/>
  <c r="D12" i="3" s="1"/>
  <c r="D36" i="3"/>
  <c r="E25" i="3"/>
  <c r="C62" i="1"/>
  <c r="C69" i="1" s="1"/>
  <c r="B13" i="1"/>
  <c r="C13" i="1"/>
  <c r="B62" i="1"/>
  <c r="B69" i="1" s="1"/>
  <c r="C48" i="1"/>
  <c r="D62" i="1"/>
  <c r="D69" i="1" s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26" i="3" l="1"/>
  <c r="D43" i="3"/>
  <c r="C18" i="1"/>
  <c r="D17" i="3"/>
  <c r="C43" i="3"/>
  <c r="C26" i="3"/>
  <c r="C34" i="3"/>
  <c r="B18" i="1"/>
  <c r="C17" i="3"/>
  <c r="E26" i="3"/>
  <c r="E43" i="3"/>
  <c r="D34" i="3"/>
  <c r="D18" i="1"/>
  <c r="E17" i="3"/>
  <c r="A24" i="3"/>
  <c r="A25" i="3" s="1"/>
  <c r="A26" i="3" s="1"/>
  <c r="A27" i="3" s="1"/>
  <c r="A28" i="3" s="1"/>
  <c r="A29" i="3" s="1"/>
  <c r="A30" i="3" s="1"/>
  <c r="A33" i="3"/>
  <c r="C20" i="1" l="1"/>
  <c r="C22" i="1" s="1"/>
  <c r="D29" i="3"/>
  <c r="D21" i="3"/>
  <c r="D19" i="3"/>
  <c r="B20" i="1"/>
  <c r="B22" i="1" s="1"/>
  <c r="C29" i="3"/>
  <c r="C21" i="3"/>
  <c r="C19" i="3"/>
  <c r="D20" i="1"/>
  <c r="D22" i="1" s="1"/>
  <c r="E29" i="3"/>
  <c r="E21" i="3"/>
  <c r="E19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18" i="3" l="1"/>
  <c r="C50" i="3"/>
  <c r="C28" i="3"/>
  <c r="C48" i="3"/>
  <c r="C20" i="3"/>
  <c r="B76" i="1"/>
  <c r="C22" i="3"/>
  <c r="C37" i="3"/>
  <c r="C49" i="3" s="1"/>
  <c r="E18" i="3"/>
  <c r="E50" i="3"/>
  <c r="D18" i="3"/>
  <c r="D50" i="3"/>
  <c r="E48" i="3"/>
  <c r="E28" i="3"/>
  <c r="E20" i="3"/>
  <c r="D48" i="3"/>
  <c r="D28" i="3"/>
  <c r="D20" i="3"/>
  <c r="D76" i="1"/>
  <c r="E37" i="3"/>
  <c r="E49" i="3" s="1"/>
  <c r="E22" i="3"/>
  <c r="C76" i="1"/>
  <c r="D37" i="3"/>
  <c r="D49" i="3" s="1"/>
  <c r="D22" i="3"/>
  <c r="C91" i="1" l="1"/>
  <c r="B91" i="1"/>
  <c r="D91" i="1"/>
  <c r="D109" i="1" l="1"/>
  <c r="E30" i="3"/>
  <c r="B109" i="1"/>
  <c r="C30" i="3"/>
  <c r="C109" i="1"/>
  <c r="D30" i="3"/>
</calcChain>
</file>

<file path=xl/sharedStrings.xml><?xml version="1.0" encoding="utf-8"?>
<sst xmlns="http://schemas.openxmlformats.org/spreadsheetml/2006/main" count="205" uniqueCount="166">
  <si>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</si>
  <si>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</si>
  <si>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</si>
  <si>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</si>
  <si>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</si>
  <si>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</si>
  <si>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</si>
  <si>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</si>
  <si>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</si>
  <si>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</si>
  <si>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</si>
  <si>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</si>
  <si>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</si>
  <si>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</si>
  <si>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</si>
  <si>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</si>
  <si>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</si>
  <si>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</si>
  <si>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</si>
  <si>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</si>
  <si>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</si>
  <si>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</si>
  <si>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</si>
  <si>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</si>
  <si>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</si>
  <si>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</si>
  <si>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</si>
  <si>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</si>
  <si>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</si>
  <si>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</si>
  <si>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</si>
  <si>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</si>
  <si>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</si>
  <si>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</si>
  <si>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</si>
  <si>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</si>
  <si>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</si>
  <si>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</si>
  <si>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</si>
  <si>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</si>
  <si>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</si>
  <si>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</si>
  <si>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</si>
  <si>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</si>
  <si>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</si>
  <si>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</si>
  <si>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</si>
  <si>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</si>
  <si>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</si>
  <si>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</si>
  <si>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</si>
  <si>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</si>
  <si>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</si>
  <si>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</si>
  <si>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</si>
  <si>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</si>
  <si>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</si>
  <si>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</si>
  <si>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</si>
  <si>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</si>
  <si>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</si>
  <si>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</si>
  <si>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</si>
  <si>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</si>
  <si>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</si>
  <si>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</si>
  <si>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</si>
  <si>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</si>
  <si>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</si>
  <si>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</si>
  <si>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</si>
  <si>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</si>
  <si>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</si>
  <si>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</si>
  <si>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</si>
  <si>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</si>
  <si>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</si>
  <si>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</si>
  <si>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</si>
  <si>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</si>
  <si>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</si>
  <si>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</si>
  <si>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</si>
  <si>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</si>
  <si>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</si>
  <si>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</si>
  <si>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</si>
  <si>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</si>
  <si>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</si>
  <si>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</si>
  <si>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</si>
  <si>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</si>
  <si>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</si>
  <si>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</si>
  <si>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</si>
  <si>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</si>
  <si>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</si>
  <si>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</si>
  <si>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</si>
  <si>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</si>
  <si>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</si>
  <si>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</si>
  <si>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</si>
  <si>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</si>
  <si>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</si>
  <si>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</si>
  <si>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</si>
  <si>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</si>
  <si>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</si>
  <si>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</si>
  <si>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</si>
  <si>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</si>
  <si>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</si>
  <si>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</si>
  <si>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</si>
  <si>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</si>
  <si>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</si>
  <si>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</si>
  <si>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</si>
  <si>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</si>
  <si>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</si>
  <si>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</si>
  <si>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</si>
  <si>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</si>
  <si>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</si>
  <si>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</si>
  <si>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</si>
  <si>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</si>
  <si>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</si>
  <si>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</si>
  <si>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</si>
  <si>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</si>
  <si>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</si>
  <si>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</si>
  <si>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</si>
  <si>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</si>
  <si>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</si>
  <si>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</si>
  <si>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</si>
  <si>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</si>
  <si>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</si>
  <si>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</si>
  <si>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</si>
  <si>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</si>
  <si>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</si>
  <si>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</si>
  <si>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</si>
  <si>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</si>
  <si>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</si>
  <si>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</si>
  <si>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Link repayment of debt - sign</t>
  </si>
  <si>
    <t>Net income/(Long term debt + Shareholder equity)</t>
  </si>
  <si>
    <t>Feedback</t>
  </si>
  <si>
    <t>Price</t>
  </si>
  <si>
    <t>Growth Rate</t>
  </si>
  <si>
    <t>Net Sales</t>
  </si>
  <si>
    <t>Current assets</t>
  </si>
  <si>
    <t>Non-current assets</t>
  </si>
  <si>
    <t>Current liabilities</t>
  </si>
  <si>
    <t>Non-current liabilities</t>
  </si>
  <si>
    <t>Margins</t>
  </si>
  <si>
    <r>
      <t xml:space="preserve">Remove Depreciation &amp; amortization from the formula, it is already included in the cash flow from operations calculation </t>
    </r>
    <r>
      <rPr>
        <sz val="11"/>
        <color rgb="FFFF0000"/>
        <rFont val="Calibri (Body)"/>
      </rPr>
      <t>Done</t>
    </r>
  </si>
  <si>
    <r>
      <t xml:space="preserve">Should be linked to Term debt under non-current liabilities (row 59) </t>
    </r>
    <r>
      <rPr>
        <sz val="11"/>
        <color rgb="FFFF0000"/>
        <rFont val="Calibri (Body)"/>
      </rPr>
      <t>Done</t>
    </r>
  </si>
  <si>
    <r>
      <t xml:space="preserve">Current Assets / Daily Operational Expenses, where Daily Operational Expenses = (Annual Operating Expenses - Noncash Charges) / 365 </t>
    </r>
    <r>
      <rPr>
        <sz val="11"/>
        <color rgb="FFFF0000"/>
        <rFont val="Calibri (Body)"/>
      </rPr>
      <t>Done</t>
    </r>
  </si>
  <si>
    <r>
      <t xml:space="preserve">BV per share/Share Price </t>
    </r>
    <r>
      <rPr>
        <sz val="11"/>
        <color rgb="FFFF0000"/>
        <rFont val="Calibri (Body)"/>
      </rPr>
      <t>Done</t>
    </r>
  </si>
  <si>
    <r>
      <t xml:space="preserve">Net income/Shareholder equity </t>
    </r>
    <r>
      <rPr>
        <sz val="11"/>
        <color rgb="FFFF0000"/>
        <rFont val="Calibri (Body)"/>
      </rPr>
      <t>Done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</si>
</sst>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quotePrefix="1" applyNumberFormat="1" applyAlignment="1">
      <alignment horizontal="right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43" sqref="A43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8" zoomScaleNormal="100" workbookViewId="0">
      <selection activeCell="B105" sqref="B105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9" t="s">
        <v>1</v>
      </c>
      <c r="B2" s="29"/>
      <c r="C2" s="29"/>
      <c r="D2" s="29"/>
    </row>
    <row r="3" spans="1:10" x14ac:dyDescent="0.2">
      <c r="B3" s="28" t="s">
        <v>23</v>
      </c>
      <c r="C3" s="28"/>
      <c r="D3" s="28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2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9" t="s">
        <v>24</v>
      </c>
      <c r="B31" s="29"/>
      <c r="C31" s="29"/>
      <c r="D31" s="29"/>
    </row>
    <row r="32" spans="1:4" x14ac:dyDescent="0.2">
      <c r="B32" s="28" t="s">
        <v>142</v>
      </c>
      <c r="C32" s="28"/>
      <c r="D32" s="28"/>
    </row>
    <row r="33" spans="1:4" x14ac:dyDescent="0.2">
      <c r="B33" s="7">
        <f>+B4</f>
        <v>2022</v>
      </c>
      <c r="C33" s="7">
        <f>+C4</f>
        <v>2021</v>
      </c>
      <c r="D33" s="7">
        <f>+D4</f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4" x14ac:dyDescent="0.2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6" thickTop="1" x14ac:dyDescent="0.2"/>
    <row r="71" spans="1:4" x14ac:dyDescent="0.2">
      <c r="A71" s="29" t="s">
        <v>55</v>
      </c>
      <c r="B71" s="29"/>
      <c r="C71" s="29"/>
      <c r="D71" s="29"/>
    </row>
    <row r="72" spans="1:4" x14ac:dyDescent="0.2">
      <c r="B72" s="28" t="s">
        <v>23</v>
      </c>
      <c r="C72" s="28"/>
      <c r="D72" s="28"/>
    </row>
    <row r="73" spans="1:4" x14ac:dyDescent="0.2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8"/>
  <sheetViews>
    <sheetView tabSelected="1" workbookViewId="0">
      <selection activeCell="F48" sqref="F48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12.6640625" bestFit="1" customWidth="1"/>
    <col min="6" max="6" width="41" customWidth="1"/>
    <col min="7" max="7" width="10.832031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27" t="s">
        <v>152</v>
      </c>
      <c r="G1" s="19"/>
      <c r="H1" s="19"/>
      <c r="I1" s="19"/>
      <c r="J1" s="19"/>
    </row>
    <row r="2" spans="1:10" x14ac:dyDescent="0.2">
      <c r="C2" s="28" t="s">
        <v>23</v>
      </c>
      <c r="D2" s="28"/>
      <c r="E2" s="28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5">
        <f>+'Financial Statements'!B42/'Financial Statements'!B56</f>
        <v>0.87935602862672257</v>
      </c>
      <c r="D5" s="25">
        <f>+'Financial Statements'!C42/'Financial Statements'!C56</f>
        <v>1.0745531195957954</v>
      </c>
      <c r="E5" s="25">
        <f>+'Financial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26">
        <f>+SUM('Financial Statements'!B36:B38)/'Financial Statements'!B56</f>
        <v>0.49673338442155579</v>
      </c>
      <c r="D6" s="26">
        <f>+SUM('Financial Statements'!C36:C38)/'Financial Statements'!C56</f>
        <v>0.70860927152317876</v>
      </c>
      <c r="E6" s="26">
        <f>+SUM('Financial Statements'!D36:D38)/'Financial Statements'!D56</f>
        <v>1.0158550933657204</v>
      </c>
    </row>
    <row r="7" spans="1:10" x14ac:dyDescent="0.2">
      <c r="A7" s="18">
        <f t="shared" si="0"/>
        <v>1.3000000000000003</v>
      </c>
      <c r="B7" s="1" t="s">
        <v>102</v>
      </c>
      <c r="C7" s="25">
        <f>+'Financial Statements'!B36/'Financial Statements'!B56</f>
        <v>0.15356340351469652</v>
      </c>
      <c r="D7" s="25">
        <f>+'Financial Statements'!C36/'Financial Statements'!C56</f>
        <v>0.27844853005634318</v>
      </c>
      <c r="E7" s="25">
        <f>+'Financial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 s="25">
        <f>+'Financial Statements'!B42/(('Financial Statements'!B76-'Financial Statements'!B79-'Financial Statements'!B80-'Financial Statements'!B81-'Financial Statements'!B82)/365)</f>
        <v>628.34943741656605</v>
      </c>
      <c r="D8" s="25">
        <f>+'Financial Statements'!C42/(('Financial Statements'!C76-'Financial Statements'!C79-'Financial Statements'!C80-'Financial Statements'!C81-'Financial Statements'!C82)/365)</f>
        <v>612.04486948303088</v>
      </c>
      <c r="E8" s="25">
        <f>+'Financial Statements'!D42/(('Financial Statements'!D76-'Financial Statements'!D79-'Financial Statements'!D80-'Financial Statements'!D81-'Financial Statements'!D82)/365)</f>
        <v>1316.7138159546162</v>
      </c>
      <c r="F8" t="s">
        <v>163</v>
      </c>
    </row>
    <row r="9" spans="1:10" x14ac:dyDescent="0.2">
      <c r="A9" s="18">
        <f t="shared" si="0"/>
        <v>1.5000000000000004</v>
      </c>
      <c r="B9" s="1" t="s">
        <v>104</v>
      </c>
      <c r="C9" s="25">
        <f>+('Financial Statements'!B39/'Financial Statements'!B12)*365</f>
        <v>8.0756980666171607</v>
      </c>
      <c r="D9" s="25">
        <f>+('Financial Statements'!C39/'Financial Statements'!C12)*365</f>
        <v>11.27659274770989</v>
      </c>
      <c r="E9" s="25">
        <f>+('Financial Statements'!D39/'Financial Statements'!D12)*365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 s="25">
        <f>+('Financial Statements'!B51/'Financial Statements'!B12)*365</f>
        <v>104.68527730310539</v>
      </c>
      <c r="D10" s="25">
        <f>+('Financial Statements'!C51/'Financial Statements'!C12)*365</f>
        <v>93.851071222315596</v>
      </c>
      <c r="E10" s="25">
        <f>+('Financial Statements'!D51/'Financial Statements'!D12)*365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 s="25">
        <f>+('Financial Statements'!B38/'Financial Statements'!B8)*365</f>
        <v>26.087825363656648</v>
      </c>
      <c r="D11" s="25">
        <f>+('Financial Statements'!C38/'Financial Statements'!C8)*365</f>
        <v>26.219311841713207</v>
      </c>
      <c r="E11" s="25">
        <f>+('Financial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 s="25">
        <f>+C9+C11-C10</f>
        <v>-70.521753872831582</v>
      </c>
      <c r="D12" s="25">
        <f>+D9+D11-D10</f>
        <v>-56.355166632892498</v>
      </c>
      <c r="E12" s="25">
        <f>+E9+E11-E10</f>
        <v>-60.872869206641568</v>
      </c>
    </row>
    <row r="13" spans="1:10" x14ac:dyDescent="0.2">
      <c r="A13" s="18">
        <f t="shared" si="0"/>
        <v>1.9000000000000008</v>
      </c>
      <c r="B13" s="1" t="s">
        <v>108</v>
      </c>
      <c r="C13" s="25">
        <f>+(C14/'Financial Statements'!B8)*100</f>
        <v>-4.7110527276784806</v>
      </c>
      <c r="D13" s="25">
        <f>+(D14/'Financial Statements'!C8)*100</f>
        <v>2.5572895737486232</v>
      </c>
      <c r="E13" s="25">
        <f>+(E14/'Financial Statements'!D8)*100</f>
        <v>13.959528623208204</v>
      </c>
    </row>
    <row r="14" spans="1:10" x14ac:dyDescent="0.2">
      <c r="A14" s="18"/>
      <c r="B14" s="3" t="s">
        <v>109</v>
      </c>
      <c r="C14">
        <f>+'Financial Statements'!B42-'Financial Statements'!B56</f>
        <v>-18577</v>
      </c>
      <c r="D14">
        <f>+'Financial Statements'!C42-'Financial Statements'!C56</f>
        <v>9355</v>
      </c>
      <c r="E14">
        <f>+'Financial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  <c r="C16" s="23"/>
      <c r="D16" s="23"/>
      <c r="E16" s="23"/>
    </row>
    <row r="17" spans="1:6" x14ac:dyDescent="0.2">
      <c r="A17" s="18">
        <f>+A16+0.1</f>
        <v>2.1</v>
      </c>
      <c r="B17" s="1" t="s">
        <v>9</v>
      </c>
      <c r="C17" s="23">
        <f>+'Financial Statements'!B13/'Financial Statements'!B8</f>
        <v>0.43309630561360085</v>
      </c>
      <c r="D17" s="23">
        <f>+'Financial Statements'!C13/'Financial Statements'!C8</f>
        <v>0.41779359625167778</v>
      </c>
      <c r="E17" s="23">
        <f>+'Financial Statements'!D13/'Financial Statements'!D8</f>
        <v>0.38233247727810865</v>
      </c>
    </row>
    <row r="18" spans="1:6" x14ac:dyDescent="0.2">
      <c r="A18" s="18">
        <f>+A17+0.1</f>
        <v>2.2000000000000002</v>
      </c>
      <c r="B18" s="1" t="s">
        <v>111</v>
      </c>
      <c r="C18" s="23">
        <f>+(C19/'Financial Statements'!B8)</f>
        <v>0.3310467428130896</v>
      </c>
      <c r="D18" s="23">
        <f>+(D19/'Financial Statements'!C8)</f>
        <v>0.32866979938056462</v>
      </c>
      <c r="E18" s="23">
        <f>+(E19/'Financial Statements'!D8)</f>
        <v>0.2817478097736007</v>
      </c>
    </row>
    <row r="19" spans="1:6" x14ac:dyDescent="0.2">
      <c r="A19" s="18"/>
      <c r="B19" s="3" t="s">
        <v>112</v>
      </c>
      <c r="C19">
        <f>+'Financial Statements'!B18+'Financial Statements'!B79</f>
        <v>130541</v>
      </c>
      <c r="D19">
        <f>+'Financial Statements'!C18+'Financial Statements'!C79</f>
        <v>120233</v>
      </c>
      <c r="E19">
        <f>+'Financial Statements'!D18+'Financial Statements'!D79</f>
        <v>77344</v>
      </c>
    </row>
    <row r="20" spans="1:6" x14ac:dyDescent="0.2">
      <c r="A20" s="18">
        <f>+A18+0.1</f>
        <v>2.3000000000000003</v>
      </c>
      <c r="B20" s="1" t="s">
        <v>113</v>
      </c>
      <c r="C20" s="23">
        <f>+C21/'Financial Statements'!B8</f>
        <v>0.30288744395528594</v>
      </c>
      <c r="D20" s="23">
        <f>+D21/'Financial Statements'!C8</f>
        <v>0.29782377527561593</v>
      </c>
      <c r="E20" s="23">
        <f>+E21/'Financial Statements'!D8</f>
        <v>0.24147314354406862</v>
      </c>
    </row>
    <row r="21" spans="1:6" x14ac:dyDescent="0.2">
      <c r="A21" s="18"/>
      <c r="B21" s="3" t="s">
        <v>114</v>
      </c>
      <c r="C21">
        <f>+'Financial Statements'!B18</f>
        <v>119437</v>
      </c>
      <c r="D21">
        <f>+'Financial Statements'!C18</f>
        <v>108949</v>
      </c>
      <c r="E21">
        <f>+'Financial Statements'!D18</f>
        <v>66288</v>
      </c>
    </row>
    <row r="22" spans="1:6" x14ac:dyDescent="0.2">
      <c r="A22" s="18">
        <f>+A20+0.1</f>
        <v>2.4000000000000004</v>
      </c>
      <c r="B22" s="1" t="s">
        <v>115</v>
      </c>
      <c r="C22" s="23">
        <f>+'Financial Statements'!B22/'Financial Statements'!B8</f>
        <v>0.25309640705199732</v>
      </c>
      <c r="D22" s="23">
        <f>+'Financial Statements'!C22/'Financial Statements'!C8</f>
        <v>0.25881793355694238</v>
      </c>
      <c r="E22" s="23">
        <f>+'Financial Statements'!D22/'Financial Statements'!D8</f>
        <v>0.20913611278072236</v>
      </c>
    </row>
    <row r="23" spans="1:6" x14ac:dyDescent="0.2">
      <c r="A23" s="18"/>
    </row>
    <row r="24" spans="1:6" x14ac:dyDescent="0.2">
      <c r="A24" s="18">
        <f>+A16+1</f>
        <v>3</v>
      </c>
      <c r="B24" s="7" t="s">
        <v>116</v>
      </c>
    </row>
    <row r="25" spans="1:6" x14ac:dyDescent="0.2">
      <c r="A25" s="18">
        <f t="shared" ref="A25:A30" si="1">+A24+0.1</f>
        <v>3.1</v>
      </c>
      <c r="B25" s="1" t="s">
        <v>117</v>
      </c>
      <c r="C25" s="24">
        <f>+'Financial Statements'!B59/'Financial Statements'!B68</f>
        <v>1.9529325860435744</v>
      </c>
      <c r="D25" s="24">
        <f>+'Financial Statements'!C59/'Financial Statements'!C68</f>
        <v>1.729370740212395</v>
      </c>
      <c r="E25" s="24">
        <f>+'Financial Statements'!D59/'Financial Statements'!D68</f>
        <v>1.5100782075024104</v>
      </c>
    </row>
    <row r="26" spans="1:6" x14ac:dyDescent="0.2">
      <c r="A26" s="18">
        <f t="shared" si="1"/>
        <v>3.2</v>
      </c>
      <c r="B26" s="1" t="s">
        <v>118</v>
      </c>
      <c r="C26" s="24">
        <f>+'Financial Statements'!B59/'Financial Statements'!B48</f>
        <v>0.28053181386514719</v>
      </c>
      <c r="D26" s="24">
        <f>+'Financial Statements'!C59/'Financial Statements'!C48</f>
        <v>0.31084153366647482</v>
      </c>
      <c r="E26" s="24">
        <f>+'Financial Statements'!D59/'Financial Statements'!D48</f>
        <v>0.30463308304105124</v>
      </c>
    </row>
    <row r="27" spans="1:6" x14ac:dyDescent="0.2">
      <c r="A27" s="18">
        <f t="shared" si="1"/>
        <v>3.3000000000000003</v>
      </c>
      <c r="B27" s="1" t="s">
        <v>119</v>
      </c>
      <c r="C27" s="24">
        <f>+'Financial Statements'!B59/('Financial Statements'!B59+'Financial Statements'!B68)</f>
        <v>0.66135359651409131</v>
      </c>
      <c r="D27" s="24">
        <f>+'Financial Statements'!C59/('Financial Statements'!C59+'Financial Statements'!C68)</f>
        <v>0.63361518269878514</v>
      </c>
      <c r="E27" s="24">
        <f>+'Financial Statements'!D59/('Financial Statements'!D59+'Financial Statements'!D68)</f>
        <v>0.60160603880345842</v>
      </c>
      <c r="F27" t="s">
        <v>162</v>
      </c>
    </row>
    <row r="28" spans="1:6" x14ac:dyDescent="0.2">
      <c r="A28" s="18">
        <f t="shared" si="1"/>
        <v>3.4000000000000004</v>
      </c>
      <c r="B28" s="1" t="s">
        <v>120</v>
      </c>
      <c r="C28" s="24">
        <f>+C21/'Financial Statements'!B114</f>
        <v>41.68830715532286</v>
      </c>
      <c r="D28" s="24">
        <f>+D21/'Financial Statements'!C114</f>
        <v>40.546706363974693</v>
      </c>
      <c r="E28" s="24">
        <f>+E21/'Financial Statements'!D114</f>
        <v>22.081279147235175</v>
      </c>
    </row>
    <row r="29" spans="1:6" x14ac:dyDescent="0.2">
      <c r="A29" s="18">
        <f t="shared" si="1"/>
        <v>3.5000000000000004</v>
      </c>
      <c r="B29" s="1" t="s">
        <v>121</v>
      </c>
      <c r="C29" s="24">
        <f>+'Financial Statements'!B18/('Financial Statements'!B114+'Financial Statements'!B105)</f>
        <v>-17.88514525306978</v>
      </c>
      <c r="D29" s="24">
        <f>+'Financial Statements'!C18/('Financial Statements'!C114+'Financial Statements'!C105)</f>
        <v>-17.969487052614216</v>
      </c>
      <c r="E29" s="24">
        <f>+'Financial Statements'!D18/('Financial Statements'!D114+'Financial Statements'!D105)</f>
        <v>-6.8856341539420383</v>
      </c>
      <c r="F29" t="s">
        <v>150</v>
      </c>
    </row>
    <row r="30" spans="1:6" x14ac:dyDescent="0.2">
      <c r="A30" s="18">
        <f t="shared" si="1"/>
        <v>3.6000000000000005</v>
      </c>
      <c r="B30" s="1" t="s">
        <v>122</v>
      </c>
      <c r="C30" s="24">
        <f>+C31/'Financial Statements'!B28*1000</f>
        <v>7.160927117959595</v>
      </c>
      <c r="D30" s="24">
        <f>+D31/'Financial Statements'!C28*1000</f>
        <v>6.7208149650763218</v>
      </c>
      <c r="E30" s="24">
        <f>+E31/'Financial Statements'!D28*1000</f>
        <v>5.103543350166766</v>
      </c>
    </row>
    <row r="31" spans="1:6" x14ac:dyDescent="0.2">
      <c r="A31" s="18"/>
      <c r="B31" s="3" t="s">
        <v>123</v>
      </c>
      <c r="C31">
        <f>+'Financial Statements'!B91+'Financial Statements'!B96+'Financial Statements'!B104</f>
        <v>116908</v>
      </c>
      <c r="D31">
        <f>+'Financial Statements'!C91+'Financial Statements'!C96+'Financial Statements'!C104</f>
        <v>113346</v>
      </c>
      <c r="E31">
        <f>+'Financial Statements'!D91+'Financial Statements'!D96+'Financial Statements'!D104</f>
        <v>89456</v>
      </c>
      <c r="F31" t="s">
        <v>161</v>
      </c>
    </row>
    <row r="32" spans="1:6" x14ac:dyDescent="0.2">
      <c r="A32" s="18"/>
    </row>
    <row r="33" spans="1:6" x14ac:dyDescent="0.2">
      <c r="A33" s="18">
        <f>+A24+1</f>
        <v>4</v>
      </c>
      <c r="B33" s="17" t="s">
        <v>124</v>
      </c>
    </row>
    <row r="34" spans="1:6" x14ac:dyDescent="0.2">
      <c r="A34" s="18">
        <f>+A33+0.1</f>
        <v>4.0999999999999996</v>
      </c>
      <c r="B34" s="1" t="s">
        <v>125</v>
      </c>
      <c r="C34" s="24">
        <f>+'Financial Statements'!B8/'Financial Statements'!B48</f>
        <v>1.1178523337727317</v>
      </c>
      <c r="D34" s="24">
        <f>+'Financial Statements'!C8/'Financial Statements'!C48</f>
        <v>1.0422077367080529</v>
      </c>
      <c r="E34" s="24">
        <f>+'Financial Statements'!D8/'Financial Statements'!D48</f>
        <v>0.84756150274168851</v>
      </c>
    </row>
    <row r="35" spans="1:6" x14ac:dyDescent="0.2">
      <c r="A35" s="18">
        <f>+A34+0.1</f>
        <v>4.1999999999999993</v>
      </c>
      <c r="B35" s="1" t="s">
        <v>126</v>
      </c>
      <c r="C35" s="24">
        <f>+'Financial Statements'!B8/'Financial Statements'!B45</f>
        <v>9.3626801529073767</v>
      </c>
      <c r="D35" s="24">
        <f>+'Financial Statements'!C8/'Financial Statements'!C45</f>
        <v>9.2752789046653152</v>
      </c>
      <c r="E35" s="24">
        <f>+'Financial Statements'!D8/'Financial Statements'!D45</f>
        <v>7.4665451776097482</v>
      </c>
    </row>
    <row r="36" spans="1:6" x14ac:dyDescent="0.2">
      <c r="A36" s="18">
        <f>+A35+0.1</f>
        <v>4.2999999999999989</v>
      </c>
      <c r="B36" s="1" t="s">
        <v>127</v>
      </c>
      <c r="C36" s="24">
        <f>+'Financial Statements'!B12/'Financial Statements'!B39</f>
        <v>45.197331176708452</v>
      </c>
      <c r="D36" s="24">
        <f>+'Financial Statements'!C12/'Financial Statements'!C39</f>
        <v>32.367933130699086</v>
      </c>
      <c r="E36" s="24">
        <f>+'Financial Statements'!D12/'Financial Statements'!D39</f>
        <v>41.753016498399411</v>
      </c>
    </row>
    <row r="37" spans="1:6" x14ac:dyDescent="0.2">
      <c r="A37" s="18">
        <f>+A36+0.1</f>
        <v>4.3999999999999986</v>
      </c>
      <c r="B37" s="1" t="s">
        <v>128</v>
      </c>
      <c r="C37" s="24">
        <f>+'Financial Statements'!B22/'Financial Statements'!B48</f>
        <v>0.28292440929256851</v>
      </c>
      <c r="D37" s="24">
        <f>+'Financial Statements'!C22/'Financial Statements'!C48</f>
        <v>0.26974205275183616</v>
      </c>
      <c r="E37" s="24">
        <f>+'Financial Statements'!D22/'Financial Statements'!D48</f>
        <v>0.1772557180259843</v>
      </c>
    </row>
    <row r="38" spans="1:6" x14ac:dyDescent="0.2">
      <c r="A38" s="18"/>
    </row>
    <row r="39" spans="1:6" x14ac:dyDescent="0.2">
      <c r="A39" s="18">
        <f>+A33+1</f>
        <v>5</v>
      </c>
      <c r="B39" s="17" t="s">
        <v>129</v>
      </c>
    </row>
    <row r="40" spans="1:6" x14ac:dyDescent="0.2">
      <c r="A40" s="18">
        <f>+A39+0.1</f>
        <v>5.0999999999999996</v>
      </c>
      <c r="B40" s="1" t="s">
        <v>130</v>
      </c>
      <c r="C40" s="24">
        <f>174.31/'Financial Statements'!B25</f>
        <v>28.528641571194761</v>
      </c>
      <c r="D40" s="24">
        <f>122.15/+'Financial Statements'!C25</f>
        <v>21.773618538324421</v>
      </c>
      <c r="E40" s="24">
        <f>63.57/+'Financial Statements'!D25</f>
        <v>19.381097560975611</v>
      </c>
    </row>
    <row r="41" spans="1:6" x14ac:dyDescent="0.2">
      <c r="A41" s="18">
        <f>+A40+0.1</f>
        <v>5.1999999999999993</v>
      </c>
      <c r="B41" s="3" t="s">
        <v>131</v>
      </c>
      <c r="C41">
        <f>+'Financial Statements'!B25</f>
        <v>6.11</v>
      </c>
      <c r="D41">
        <f>+'Financial Statements'!C25</f>
        <v>5.61</v>
      </c>
      <c r="E41">
        <f>+'Financial Statements'!D25</f>
        <v>3.28</v>
      </c>
    </row>
    <row r="42" spans="1:6" x14ac:dyDescent="0.2">
      <c r="A42" s="18">
        <f>+A41+0.1</f>
        <v>5.2999999999999989</v>
      </c>
      <c r="B42" s="1" t="s">
        <v>132</v>
      </c>
      <c r="C42" s="24">
        <f>+C43/174.31</f>
        <v>1.780618026961818E-2</v>
      </c>
      <c r="D42" s="24">
        <f>+D43/122.15</f>
        <v>3.0625472398564033E-2</v>
      </c>
      <c r="E42" s="24">
        <f>+E43/63.57</f>
        <v>5.8638466624795466E-2</v>
      </c>
      <c r="F42" t="s">
        <v>164</v>
      </c>
    </row>
    <row r="43" spans="1:6" x14ac:dyDescent="0.2">
      <c r="A43" s="18">
        <f>+A42+0.1</f>
        <v>5.3999999999999986</v>
      </c>
      <c r="B43" s="3" t="s">
        <v>133</v>
      </c>
      <c r="C43" s="24">
        <f>+('Financial Statements'!B48-'Financial Statements'!B62)/('Financial Statements'!B28/1000)</f>
        <v>3.1037952827971451</v>
      </c>
      <c r="D43" s="24">
        <f>+('Financial Statements'!C48-'Financial Statements'!C62)/('Financial Statements'!C28/1000)</f>
        <v>3.740901453484597</v>
      </c>
      <c r="E43" s="24">
        <f>+('Financial Statements'!D48-'Financial Statements'!D62)/('Financial Statements'!D28/1000)</f>
        <v>3.7276473233382479</v>
      </c>
    </row>
    <row r="44" spans="1:6" x14ac:dyDescent="0.2">
      <c r="A44" s="18">
        <f>+A43+0.1</f>
        <v>5.4999999999999982</v>
      </c>
      <c r="B44" s="1" t="s">
        <v>134</v>
      </c>
      <c r="C44" s="24">
        <f>+C45/C41</f>
        <v>0.14878083013397297</v>
      </c>
      <c r="D44" s="24">
        <f>+D45/D41</f>
        <v>0.15290840583271573</v>
      </c>
      <c r="E44" s="24">
        <f>+E45/E41</f>
        <v>0.24491872388584765</v>
      </c>
    </row>
    <row r="45" spans="1:6" x14ac:dyDescent="0.2">
      <c r="A45" s="18"/>
      <c r="B45" s="3" t="s">
        <v>135</v>
      </c>
      <c r="C45" s="24">
        <f>+(-'Financial Statements'!B102)/('Financial Statements'!B28/1000)</f>
        <v>0.90905087211857494</v>
      </c>
      <c r="D45" s="24">
        <f>+(-'Financial Statements'!C102)/('Financial Statements'!C28/1000)</f>
        <v>0.85781615672153533</v>
      </c>
      <c r="E45" s="24">
        <f>+(-'Financial Statements'!D102)/('Financial Statements'!D28/1000)</f>
        <v>0.80333341434558025</v>
      </c>
    </row>
    <row r="46" spans="1:6" x14ac:dyDescent="0.2">
      <c r="A46" s="18">
        <f>+A44+0.1</f>
        <v>5.5999999999999979</v>
      </c>
      <c r="B46" s="1" t="s">
        <v>136</v>
      </c>
      <c r="C46" s="24">
        <f>+C45/174.31</f>
        <v>5.2151389600055935E-3</v>
      </c>
      <c r="D46" s="24">
        <f>+D45/122.15</f>
        <v>7.0226455728328715E-3</v>
      </c>
      <c r="E46" s="24">
        <f>+E45/63.57</f>
        <v>1.2636989371489386E-2</v>
      </c>
    </row>
    <row r="47" spans="1:6" x14ac:dyDescent="0.2">
      <c r="A47" s="18">
        <f>+A45+0.1</f>
        <v>0.1</v>
      </c>
      <c r="B47" s="1" t="s">
        <v>137</v>
      </c>
      <c r="C47" s="24">
        <f>+'Financial Statements'!B22/'Financial Statements'!B68</f>
        <v>1.9695887275023682</v>
      </c>
      <c r="D47" s="24">
        <f>+'Financial Statements'!C22/'Financial Statements'!C68</f>
        <v>1.5007132667617689</v>
      </c>
      <c r="E47" s="24">
        <f>+'Financial Statements'!D22/'Financial Statements'!D68</f>
        <v>0.87866358530127486</v>
      </c>
      <c r="F47" t="s">
        <v>165</v>
      </c>
    </row>
    <row r="48" spans="1:6" x14ac:dyDescent="0.2">
      <c r="A48" s="18">
        <f>+A46+0.1</f>
        <v>5.6999999999999975</v>
      </c>
      <c r="B48" s="1" t="s">
        <v>138</v>
      </c>
      <c r="C48" s="24">
        <f>+C21/('Financial Statements'!B48-'Financial Statements'!B56)</f>
        <v>0.60087134570590572</v>
      </c>
      <c r="D48" s="24">
        <f>+D21/('Financial Statements'!C48-'Financial Statements'!C56)</f>
        <v>0.48309913489209433</v>
      </c>
      <c r="E48" s="24">
        <f>+E21/('Financial Statements'!D48-'Financial Statements'!D56)</f>
        <v>0.30338312829525482</v>
      </c>
      <c r="F48" t="s">
        <v>151</v>
      </c>
    </row>
    <row r="49" spans="1:5" x14ac:dyDescent="0.2">
      <c r="A49" s="18">
        <f>+A47+0.1</f>
        <v>0.2</v>
      </c>
      <c r="B49" s="1" t="s">
        <v>128</v>
      </c>
      <c r="C49" s="24">
        <f>+C37</f>
        <v>0.28292440929256851</v>
      </c>
      <c r="D49" s="24">
        <f>+D37</f>
        <v>0.26974205275183616</v>
      </c>
      <c r="E49" s="24">
        <f>+E37</f>
        <v>0.1772557180259843</v>
      </c>
    </row>
    <row r="50" spans="1:5" x14ac:dyDescent="0.2">
      <c r="A50" s="18">
        <f>+A48+0.1</f>
        <v>5.7999999999999972</v>
      </c>
      <c r="B50" s="1" t="s">
        <v>139</v>
      </c>
      <c r="C50" s="24">
        <f>C51/C19</f>
        <v>22.376621213948106</v>
      </c>
      <c r="D50" s="24">
        <f>D51/D19</f>
        <v>17.750666255104672</v>
      </c>
      <c r="E50" s="24">
        <f>E51/E19</f>
        <v>15.190830109381466</v>
      </c>
    </row>
    <row r="51" spans="1:5" x14ac:dyDescent="0.2">
      <c r="A51" s="18"/>
      <c r="B51" s="3" t="s">
        <v>140</v>
      </c>
      <c r="C51" s="2">
        <f>+(174.31/1000)*'Financial Statements'!B28+('Financial Statements'!B59)-'Financial Statements'!B36</f>
        <v>2921066.5098899999</v>
      </c>
      <c r="D51" s="2">
        <f>+(122.15/1000)*'Financial Statements'!C28+('Financial Statements'!C59)-'Financial Statements'!C36</f>
        <v>2134215.8558499999</v>
      </c>
      <c r="E51" s="2">
        <f>+(63.57/1000)*'Financial Statements'!D28+('Financial Statements'!D59)-'Financial Statements'!D36</f>
        <v>1174919.5639800001</v>
      </c>
    </row>
    <row r="53" spans="1:5" x14ac:dyDescent="0.2">
      <c r="B53" s="11" t="s">
        <v>153</v>
      </c>
    </row>
    <row r="55" spans="1:5" x14ac:dyDescent="0.2">
      <c r="B55" s="7" t="s">
        <v>154</v>
      </c>
    </row>
    <row r="56" spans="1:5" x14ac:dyDescent="0.2">
      <c r="B56" t="s">
        <v>4</v>
      </c>
      <c r="C56">
        <f>+('Financial Statements'!B6/'Financial Statements'!C6)-1</f>
        <v>6.3239764351428418E-2</v>
      </c>
      <c r="D56">
        <f>+('Financial Statements'!C6/'Financial Statements'!D6)-1</f>
        <v>0.34720743656765429</v>
      </c>
    </row>
    <row r="57" spans="1:5" x14ac:dyDescent="0.2">
      <c r="B57" t="s">
        <v>5</v>
      </c>
      <c r="C57">
        <f>+('Financial Statements'!B7/'Financial Statements'!C7)-1</f>
        <v>0.14181951041286078</v>
      </c>
      <c r="D57">
        <f>+('Financial Statements'!C7/'Financial Statements'!D7)-1</f>
        <v>0.27259708376729663</v>
      </c>
    </row>
    <row r="58" spans="1:5" x14ac:dyDescent="0.2">
      <c r="B58" t="s">
        <v>155</v>
      </c>
      <c r="C58">
        <f>+('Financial Statements'!B8/'Financial Statements'!C8)-1</f>
        <v>7.7937876041846099E-2</v>
      </c>
      <c r="D58">
        <f>+('Financial Statements'!C8/'Financial Statements'!D8)-1</f>
        <v>0.33259384733074704</v>
      </c>
    </row>
    <row r="59" spans="1:5" x14ac:dyDescent="0.2">
      <c r="B59" t="s">
        <v>89</v>
      </c>
      <c r="C59">
        <f>+('Financial Statements'!B13/'Financial Statements'!C13)-1</f>
        <v>0.1174199795859614</v>
      </c>
      <c r="D59">
        <f>+('Financial Statements'!C13/'Financial Statements'!D13)-1</f>
        <v>0.45619116582186825</v>
      </c>
    </row>
    <row r="60" spans="1:5" x14ac:dyDescent="0.2">
      <c r="B60" t="s">
        <v>11</v>
      </c>
      <c r="C60">
        <f>+('Financial Statements'!B15/'Financial Statements'!C15)-1</f>
        <v>0.19791001186456136</v>
      </c>
      <c r="D60">
        <f>+('Financial Statements'!C15/'Financial Statements'!D15)-1</f>
        <v>0.16862201365187723</v>
      </c>
    </row>
    <row r="61" spans="1:5" x14ac:dyDescent="0.2">
      <c r="B61" t="s">
        <v>12</v>
      </c>
      <c r="C61">
        <f>+('Financial Statements'!B16/'Financial Statements'!C16)-1</f>
        <v>0.14203795567287125</v>
      </c>
      <c r="D61">
        <f>+('Financial Statements'!C16/'Financial Statements'!D16)-1</f>
        <v>0.10328379192608961</v>
      </c>
    </row>
    <row r="62" spans="1:5" x14ac:dyDescent="0.2">
      <c r="B62" t="s">
        <v>13</v>
      </c>
      <c r="C62">
        <f>+('Financial Statements'!B17/'Financial Statements'!C17)-1</f>
        <v>0.16993642764372141</v>
      </c>
      <c r="D62">
        <f>+('Financial Statements'!C17/'Financial Statements'!D17)-1</f>
        <v>0.13496948381090301</v>
      </c>
    </row>
    <row r="63" spans="1:5" x14ac:dyDescent="0.2">
      <c r="B63" t="s">
        <v>156</v>
      </c>
      <c r="C63">
        <f>+('Financial Statements'!B42/'Financial Statements'!C42)-1</f>
        <v>4.2199412619774446E-3</v>
      </c>
      <c r="D63">
        <f>+('Financial Statements'!C42/'Financial Statements'!D42)-1</f>
        <v>-6.1768942266879123E-2</v>
      </c>
    </row>
    <row r="64" spans="1:5" x14ac:dyDescent="0.2">
      <c r="B64" t="s">
        <v>157</v>
      </c>
      <c r="C64">
        <f>+('Financial Statements'!B47/'Financial Statements'!C47)-1</f>
        <v>5.477272096444441E-3</v>
      </c>
      <c r="D64">
        <f>+('Financial Statements'!C47/'Financial Statements'!D47)-1</f>
        <v>0.19975579297904811</v>
      </c>
    </row>
    <row r="65" spans="2:5" x14ac:dyDescent="0.2">
      <c r="B65" t="s">
        <v>158</v>
      </c>
      <c r="C65">
        <f>+('Financial Statements'!B56/'Financial Statements'!C56)-1</f>
        <v>0.22713398841258825</v>
      </c>
      <c r="D65">
        <f>+('Financial Statements'!C56/'Financial Statements'!D56)-1</f>
        <v>0.19061219067860935</v>
      </c>
    </row>
    <row r="66" spans="2:5" x14ac:dyDescent="0.2">
      <c r="B66" t="s">
        <v>159</v>
      </c>
      <c r="C66">
        <f>+('Financial Statements'!B61/'Financial Statements'!C61)-1</f>
        <v>-8.8222075835277747E-2</v>
      </c>
      <c r="D66">
        <f>+('Financial Statements'!C61/'Financial Statements'!D61)-1</f>
        <v>6.0552243775994663E-2</v>
      </c>
    </row>
    <row r="67" spans="2:5" x14ac:dyDescent="0.2">
      <c r="B67" t="s">
        <v>45</v>
      </c>
      <c r="C67">
        <f>+('Financial Statements'!B68/'Financial Statements'!C68)-1</f>
        <v>-0.19682992550324929</v>
      </c>
      <c r="D67">
        <f>+('Financial Statements'!C68/'Financial Statements'!D68)-1</f>
        <v>-3.4420483937617652E-2</v>
      </c>
    </row>
    <row r="69" spans="2:5" x14ac:dyDescent="0.2">
      <c r="B69" s="7" t="s">
        <v>160</v>
      </c>
    </row>
    <row r="70" spans="2:5" x14ac:dyDescent="0.2">
      <c r="B70" t="s">
        <v>146</v>
      </c>
      <c r="C70">
        <f>+'Financial Statements'!B12/'Financial Statements'!B8</f>
        <v>0.56690369438639909</v>
      </c>
      <c r="D70">
        <f>+'Financial Statements'!C12/'Financial Statements'!C8</f>
        <v>0.58220640374832222</v>
      </c>
      <c r="E70">
        <f>+'Financial Statements'!D12/'Financial Statements'!D8</f>
        <v>0.61766752272189129</v>
      </c>
    </row>
    <row r="71" spans="2:5" x14ac:dyDescent="0.2">
      <c r="B71" t="s">
        <v>89</v>
      </c>
      <c r="C71">
        <f>+'Financial Statements'!B13/'Financial Statements'!B8</f>
        <v>0.43309630561360085</v>
      </c>
      <c r="D71">
        <f>+'Financial Statements'!C13/'Financial Statements'!C8</f>
        <v>0.41779359625167778</v>
      </c>
      <c r="E71">
        <f>+'Financial Statements'!D13/'Financial Statements'!D8</f>
        <v>0.38233247727810865</v>
      </c>
    </row>
    <row r="72" spans="2:5" x14ac:dyDescent="0.2">
      <c r="B72" t="s">
        <v>11</v>
      </c>
      <c r="C72">
        <f>+'Financial Statements'!B15/'Financial Statements'!B8</f>
        <v>6.657148363798665E-2</v>
      </c>
      <c r="D72">
        <f>+'Financial Statements'!C15/'Financial Statements'!C8</f>
        <v>5.9904269074427925E-2</v>
      </c>
      <c r="E72">
        <f>+'Financial Statements'!D15/'Financial Statements'!D8</f>
        <v>6.8309564140393061E-2</v>
      </c>
    </row>
    <row r="73" spans="2:5" x14ac:dyDescent="0.2">
      <c r="B73" t="s">
        <v>12</v>
      </c>
      <c r="C73">
        <f>+'Financial Statements'!B16/'Financial Statements'!B8</f>
        <v>6.3637378020328261E-2</v>
      </c>
      <c r="D73">
        <f>+'Financial Statements'!C16/'Financial Statements'!C8</f>
        <v>6.006555190163388E-2</v>
      </c>
      <c r="E73">
        <f>+'Financial Statements'!D16/'Financial Statements'!D8</f>
        <v>7.2549769593646979E-2</v>
      </c>
    </row>
    <row r="74" spans="2:5" x14ac:dyDescent="0.2">
      <c r="B74" t="s">
        <v>14</v>
      </c>
      <c r="C74">
        <f>+'Financial Statements'!B18/'Financial Statements'!B8</f>
        <v>0.30288744395528594</v>
      </c>
      <c r="D74">
        <f>+'Financial Statements'!C18/'Financial Statements'!C8</f>
        <v>0.29782377527561593</v>
      </c>
      <c r="E74">
        <f>+'Financial Statements'!D18/'Financial Statements'!D8</f>
        <v>0.24147314354406862</v>
      </c>
    </row>
    <row r="75" spans="2:5" x14ac:dyDescent="0.2">
      <c r="B75" t="s">
        <v>93</v>
      </c>
      <c r="C75">
        <f>+'Financial Statements'!B22/'Financial Statements'!B8</f>
        <v>0.25309640705199732</v>
      </c>
      <c r="D75">
        <f>+'Financial Statements'!C22/'Financial Statements'!C8</f>
        <v>0.25881793355694238</v>
      </c>
      <c r="E75">
        <f>+'Financial Statements'!D22/'Financial Statements'!D8</f>
        <v>0.20913611278072236</v>
      </c>
    </row>
    <row r="76" spans="2:5" x14ac:dyDescent="0.2">
      <c r="B76" t="s">
        <v>94</v>
      </c>
      <c r="C76">
        <f>+'Financial Statements'!B21/'Financial Statements'!B20</f>
        <v>0.16204461684424407</v>
      </c>
      <c r="D76">
        <f>+'Financial Statements'!C21/'Financial Statements'!C20</f>
        <v>0.13302260844085087</v>
      </c>
      <c r="E76">
        <f>+'Financial Statements'!D21/'Financial Statements'!D20</f>
        <v>0.14428164731484103</v>
      </c>
    </row>
    <row r="77" spans="2:5" x14ac:dyDescent="0.2">
      <c r="B77" t="s">
        <v>95</v>
      </c>
      <c r="C77">
        <f>+'Financial Statements'!B96/'Financial Statements'!B8</f>
        <v>-2.7155058732831552E-2</v>
      </c>
      <c r="D77">
        <f>+'Financial Statements'!C96/'Financial Statements'!C8</f>
        <v>-3.0302036264033657E-2</v>
      </c>
      <c r="E77">
        <f>+'Financial Statements'!D96/'Financial Statements'!D8</f>
        <v>-2.6625138881299748E-2</v>
      </c>
    </row>
    <row r="78" spans="2:5" x14ac:dyDescent="0.2">
      <c r="B78" t="s">
        <v>96</v>
      </c>
      <c r="C78">
        <f>+'Financial Statements'!B96/'Financial Statements'!B45</f>
        <v>-0.25424412944891611</v>
      </c>
      <c r="D78">
        <f>+'Financial Statements'!C96/'Financial Statements'!C45</f>
        <v>-0.28105983772819471</v>
      </c>
      <c r="E78">
        <f>+'Financial Statements'!D96/'Financial Statements'!D45</f>
        <v>-0.19879780231735844</v>
      </c>
    </row>
  </sheetData>
  <mergeCells count="1">
    <mergeCell ref="C2:E2"/>
  </mergeCells>
  <pageMargins left="0.7" right="0.7" top="0.75" bottom="0.75" header="0.3" footer="0.3"/>
  <pageSetup orientation="portrait" horizontalDpi="1200" verticalDpi="1200" r:id="rId1"/>
  <ignoredErrors>
    <ignoredError sqref="C6:E6" formulaRange="1"/>
    <ignoredError sqref="C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2020-05-18T16:32:37Z</dcterms:created>
  <dcterms:modified xsi:type="dcterms:W3CDTF">2023-11-14T19:10:38Z</dcterms:modified>
</cp:coreProperties>
</file>